
<file path=[Content_Types].xml><?xml version="1.0" encoding="utf-8"?>
<Types xmlns="http://schemas.openxmlformats.org/package/2006/content-types">
  <Default Extension="bin" ContentType="application/vnd.openxmlformats-officedocument.spreadsheetml.printerSettings"/>
  <Default Extension="png" ContentType="image/png"/>
  <Default Extension="glb" ContentType="model/gltf.binary"/>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ustom.xml" ContentType="application/vnd.openxmlformats-officedocument.custom-propertie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K:\User\A0319\Corona\Studie\Innenraum\"/>
    </mc:Choice>
  </mc:AlternateContent>
  <xr:revisionPtr revIDLastSave="0" documentId="8_{1B62E8AE-E7C1-4B82-93B5-D28808A89C29}" xr6:coauthVersionLast="45" xr6:coauthVersionMax="45" xr10:uidLastSave="{00000000-0000-0000-0000-000000000000}"/>
  <bookViews>
    <workbookView xWindow="-108" yWindow="-108" windowWidth="23256" windowHeight="12576" xr2:uid="{4720B8DD-5E29-4C07-B5A7-8D42E2200718}"/>
  </bookViews>
  <sheets>
    <sheet name="Intro" sheetId="1" r:id="rId1"/>
    <sheet name="Simulation" sheetId="2" r:id="rId2"/>
    <sheet name="Mobilgeräte" sheetId="5" r:id="rId3"/>
    <sheet name="FAQ" sheetId="4" r:id="rId4"/>
    <sheet name="Literatur" sheetId="6" r:id="rId5"/>
    <sheet name="Einstellungen" sheetId="3" state="hidden"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20" i="2" l="1"/>
  <c r="W21" i="2" l="1"/>
  <c r="W16" i="2"/>
  <c r="W11" i="2"/>
  <c r="L21" i="2" l="1"/>
  <c r="L11" i="2"/>
  <c r="S21" i="2" l="1"/>
  <c r="S20" i="2"/>
  <c r="S19" i="2"/>
  <c r="S18" i="2"/>
  <c r="T9" i="2" l="1"/>
  <c r="L23" i="3" l="1"/>
  <c r="L22" i="3"/>
  <c r="L21" i="3"/>
  <c r="L20" i="3"/>
  <c r="L19" i="3"/>
  <c r="L18" i="3"/>
  <c r="L17" i="3"/>
  <c r="L16" i="3"/>
  <c r="L15" i="3"/>
  <c r="L14" i="3"/>
  <c r="L13" i="3"/>
  <c r="L12" i="3"/>
  <c r="L11" i="3"/>
  <c r="L10" i="3"/>
  <c r="L9" i="3"/>
  <c r="L8" i="3"/>
  <c r="L7" i="3"/>
  <c r="L6" i="3"/>
  <c r="L5" i="3"/>
  <c r="L4" i="3"/>
  <c r="L3" i="3"/>
  <c r="K23" i="3"/>
  <c r="K19" i="3"/>
  <c r="K18" i="3"/>
  <c r="K17" i="3"/>
  <c r="K16" i="3"/>
  <c r="K15" i="3"/>
  <c r="K14" i="3"/>
  <c r="K13" i="3"/>
  <c r="K12" i="3"/>
  <c r="K11" i="3"/>
  <c r="K10" i="3"/>
  <c r="K8" i="3"/>
  <c r="K6" i="3"/>
  <c r="K3" i="3"/>
  <c r="K4" i="3"/>
  <c r="D7" i="2"/>
  <c r="D6" i="2" s="1"/>
  <c r="M17" i="2" l="1"/>
  <c r="M12" i="2"/>
  <c r="L16" i="2" s="1"/>
  <c r="T7" i="2" s="1"/>
  <c r="M7" i="2"/>
  <c r="I9" i="2"/>
  <c r="D14" i="2"/>
  <c r="D15" i="2"/>
  <c r="D8" i="2"/>
  <c r="T6" i="2" s="1"/>
  <c r="G9" i="2" l="1"/>
  <c r="F20" i="2" s="1"/>
  <c r="T8" i="2" l="1"/>
  <c r="T10" i="2" l="1"/>
  <c r="V10" i="2"/>
  <c r="W12" i="2" l="1"/>
  <c r="V12" i="2"/>
  <c r="T12" i="2" s="1"/>
  <c r="T13" i="2" l="1"/>
  <c r="O9" i="2" l="1"/>
  <c r="Q9" i="2" s="1"/>
  <c r="O8" i="2"/>
  <c r="Q8" i="2" s="1"/>
  <c r="O7" i="2"/>
  <c r="Q7" i="2" s="1"/>
  <c r="O14" i="2"/>
  <c r="Q14" i="2" s="1"/>
  <c r="O18" i="2"/>
  <c r="Q18" i="2" s="1"/>
  <c r="O19" i="2"/>
  <c r="Q19" i="2" s="1"/>
  <c r="O11" i="2"/>
  <c r="Q11" i="2" s="1"/>
  <c r="O17" i="2"/>
  <c r="Q17" i="2" s="1"/>
  <c r="O13" i="2"/>
  <c r="Q13" i="2" s="1"/>
  <c r="O12" i="2"/>
  <c r="Q12" i="2" s="1"/>
  <c r="O16" i="2"/>
  <c r="Q16" i="2" s="1"/>
  <c r="O10" i="2"/>
  <c r="Q10" i="2" s="1"/>
  <c r="O15" i="2"/>
  <c r="Q15"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Paassen, Andreas</author>
  </authors>
  <commentList>
    <comment ref="G6" authorId="0" shapeId="0" xr:uid="{15F16B53-C38C-4C4E-85D0-FC1F7819491E}">
      <text>
        <r>
          <rPr>
            <sz val="9"/>
            <color indexed="81"/>
            <rFont val="Segoe UI"/>
            <family val="2"/>
          </rPr>
          <t xml:space="preserve">Breite * Tiefe des Raumes
</t>
        </r>
      </text>
    </comment>
    <comment ref="L6" authorId="0" shapeId="0" xr:uid="{DB9CB100-7E1E-41CA-BB8B-7D8D76DB2020}">
      <text>
        <r>
          <rPr>
            <sz val="9"/>
            <color indexed="81"/>
            <rFont val="Segoe UI"/>
            <family val="2"/>
          </rPr>
          <t xml:space="preserve">Die Intensität des Luftaustausches hängt von der Temperaturdifferenz des Raumes zur Außenluft ab.
</t>
        </r>
      </text>
    </comment>
    <comment ref="L8" authorId="0" shapeId="0" xr:uid="{5A6FE960-B6EA-4BA9-A854-5C93AF0EAFC8}">
      <text>
        <r>
          <rPr>
            <sz val="9"/>
            <color indexed="81"/>
            <rFont val="Segoe UI"/>
            <family val="2"/>
          </rPr>
          <t xml:space="preserve">Dauer der durchgeführten Lüftungsmaßnahme. Bei kontinuierlicher Lüftung Gesamtdauer angeben.
</t>
        </r>
      </text>
    </comment>
    <comment ref="L9" authorId="0" shapeId="0" xr:uid="{A63055BA-BB09-4103-82D0-B295F049A065}">
      <text>
        <r>
          <rPr>
            <sz val="9"/>
            <color indexed="81"/>
            <rFont val="Segoe UI"/>
            <family val="2"/>
          </rPr>
          <t>Bei kurzzeitigen Lüftungen gibt das Lüftungsintervall an, in welchen Zeitabständen eine erneute Durchführung der Lüftungsmaßnahme erfolgt.
Bei kontinuierlicher Lüftung ist das Lüftungsintervall = Lüftungsdauer.</t>
        </r>
      </text>
    </comment>
    <comment ref="C10" authorId="0" shapeId="0" xr:uid="{44403C8C-0AF2-4597-9746-8C634597F36F}">
      <text>
        <r>
          <rPr>
            <sz val="9"/>
            <color indexed="81"/>
            <rFont val="Segoe UI"/>
            <family val="2"/>
          </rPr>
          <t xml:space="preserve">Die Dauer des Aufenthaltes der Quelle im Raum vor Eintreffen des Empfängers. 
Während dieser Zeit wird  die Viruskonzentartion im Raum erhöht, so dass beim Eintreffen des Empfängers schon einer erhöhte Viruskonzentration besteht.
</t>
        </r>
      </text>
    </comment>
    <comment ref="L10" authorId="0" shapeId="0" xr:uid="{65E40A99-BEE4-444E-9C33-466937FE5BDC}">
      <text>
        <r>
          <rPr>
            <b/>
            <sz val="9"/>
            <color indexed="81"/>
            <rFont val="Segoe UI"/>
            <family val="2"/>
          </rPr>
          <t>Berechnung</t>
        </r>
        <r>
          <rPr>
            <sz val="9"/>
            <color indexed="81"/>
            <rFont val="Segoe UI"/>
            <family val="2"/>
          </rPr>
          <t xml:space="preserve">
Fensterfläche: Fensterhöhe x Fensterbreite 
Türfläche: Türhohe x Türbreite
Fensterkippfläche: Spaltbreite x (Fensterhöhe + Fensterbreite)
Gesamtfläche: Summe der Einzelfenste-/Türrflächen und der Fensterkippflächen
</t>
        </r>
      </text>
    </comment>
    <comment ref="L13" authorId="0" shapeId="0" xr:uid="{C4393DCE-7ABC-4D62-85E2-80332AC86BCB}">
      <text>
        <r>
          <rPr>
            <sz val="9"/>
            <color indexed="81"/>
            <rFont val="Segoe UI"/>
            <family val="2"/>
          </rPr>
          <t xml:space="preserve">Dauer der durchgeführten Lüftungsmaßnahme. Bei kontinuierlicher Lüftung Gesamtdauer angeben.
</t>
        </r>
      </text>
    </comment>
    <comment ref="H14" authorId="0" shapeId="0" xr:uid="{32556AEE-4F7E-46F8-8319-5CC0D6DA2712}">
      <text>
        <r>
          <rPr>
            <sz val="9"/>
            <color indexed="81"/>
            <rFont val="Segoe UI"/>
            <charset val="1"/>
          </rPr>
          <t>Die Luftwechselrate bezieht sich auf den Wechsel des Raumvolumens pro Stunde. Wenn die ausgetauschte Luftmenge in m3 bekannt ist, ist diese durch das Raumvolumen zu teilen und auf 1 Stunde zu beziehen.</t>
        </r>
      </text>
    </comment>
    <comment ref="L14" authorId="0" shapeId="0" xr:uid="{569907A8-4AC0-4A74-858C-0E9839E66619}">
      <text>
        <r>
          <rPr>
            <sz val="9"/>
            <color indexed="81"/>
            <rFont val="Segoe UI"/>
            <family val="2"/>
          </rPr>
          <t xml:space="preserve">Bei kurzzeitigen Lüftungen gibt das Lüftungsintervall an, in welchen Zeitabständen eine erneute Durchführung der Lüftungsmaßnahme erfolgt.
Bei kontinuierlicher Lüftung ist das Lüftungsintervall = Lüftungsdauer.
</t>
        </r>
      </text>
    </comment>
    <comment ref="L15" authorId="0" shapeId="0" xr:uid="{A790D3AD-674E-4F80-8315-90CBBB42BBF4}">
      <text>
        <r>
          <rPr>
            <b/>
            <sz val="9"/>
            <color indexed="81"/>
            <rFont val="Segoe UI"/>
            <family val="2"/>
          </rPr>
          <t xml:space="preserve">Berechnung
</t>
        </r>
        <r>
          <rPr>
            <sz val="9"/>
            <color indexed="81"/>
            <rFont val="Segoe UI"/>
            <family val="2"/>
          </rPr>
          <t xml:space="preserve">Fensterfläche: Fensterhöhe x Fensterbreite 
Türfläche: Türhohe x Türbreite
Fensterkippfläche: Spaltbreite x (Fensterhöhe + Fensterbreite)
Gesamtfläche: Summe der Einzelfenste-/Türrflächen und der Fensterkippflächen
</t>
        </r>
      </text>
    </comment>
    <comment ref="C17" authorId="0" shapeId="0" xr:uid="{B538A29C-A8D3-4A9D-B5A5-DBA5DE4CDADF}">
      <text>
        <r>
          <rPr>
            <sz val="9"/>
            <color indexed="81"/>
            <rFont val="Segoe UI"/>
            <family val="2"/>
          </rPr>
          <t xml:space="preserve">Die Dauer des gemeinsamen Aufenthaltes von Quelle und Empfänger. Ist die Quelle schon vor Eintreffen des Empfängers im Raum ist die Zeit oben in Zeile 10 zu erfassen.
</t>
        </r>
      </text>
    </comment>
    <comment ref="H17" authorId="0" shapeId="0" xr:uid="{73E0717F-0D17-4C36-B7C3-2BC6AF796E73}">
      <text>
        <r>
          <rPr>
            <sz val="9"/>
            <color indexed="81"/>
            <rFont val="Segoe UI"/>
            <family val="2"/>
          </rPr>
          <t xml:space="preserve">Die Luftwechselrate bezieht sich auf den Wechsel des Raumvolumens pro Stunde. Wenn die ausgetauschte Luftmenge in m3 bekannt ist, ist diese durch das Raumvolumen zu teilen und auf 1 Stunde zu beziehen.
</t>
        </r>
      </text>
    </comment>
    <comment ref="L18" authorId="0" shapeId="0" xr:uid="{F369B418-1491-43FD-987E-6F7743F55209}">
      <text>
        <r>
          <rPr>
            <sz val="9"/>
            <color indexed="81"/>
            <rFont val="Segoe UI"/>
            <family val="2"/>
          </rPr>
          <t xml:space="preserve">Dauer der durchgeführten Lüftungsmaßnahme. Bei kontinuierlicher Lüftung Gesamtdauer angeben.
</t>
        </r>
      </text>
    </comment>
    <comment ref="H19" authorId="0" shapeId="0" xr:uid="{30C4C5F6-3706-4849-9AF7-F84E344A29F1}">
      <text>
        <r>
          <rPr>
            <sz val="9"/>
            <color indexed="81"/>
            <rFont val="Segoe UI"/>
            <family val="2"/>
          </rPr>
          <t xml:space="preserve">Die Luftwechselrate bezieht sich auf den Wechsel des Raumvolumens pro Stunde. Wenn die ausgetauschte Luftmenge in m3 bekannt ist, ist diese durch das Raumvolumen zu teilen und auf 1 Stunde zu beziehen.
</t>
        </r>
      </text>
    </comment>
    <comment ref="L19" authorId="0" shapeId="0" xr:uid="{3E393E51-C7F2-45F6-B7A6-431F6791B07D}">
      <text>
        <r>
          <rPr>
            <sz val="9"/>
            <color indexed="81"/>
            <rFont val="Segoe UI"/>
            <family val="2"/>
          </rPr>
          <t xml:space="preserve">Bei kurzzeitigen Lüftungen gibt das Lüftungsintervall an, in welchen Zeitabständen eine erneute Durchführung der Lüftungsmaßnahme erfolgt.
Bei kontinuierlicher Lüftung ist das Lüftungsintervall = Lüftungsdauer.
</t>
        </r>
      </text>
    </comment>
    <comment ref="L20" authorId="0" shapeId="0" xr:uid="{8A0E87C0-7C5C-4DB1-A140-7B653438D927}">
      <text>
        <r>
          <rPr>
            <b/>
            <sz val="9"/>
            <color indexed="81"/>
            <rFont val="Segoe UI"/>
            <family val="2"/>
          </rPr>
          <t>Berechnung</t>
        </r>
        <r>
          <rPr>
            <sz val="9"/>
            <color indexed="81"/>
            <rFont val="Segoe UI"/>
            <family val="2"/>
          </rPr>
          <t xml:space="preserve">
Fensterfläche: Fensterhöhe x Fensterbreite 
Türfläche: Türhohe x Türbreite
Fensterkippfläche: Spaltbreite x (Fensterhöhe + Fensterbreite)
Gesamtfläche: Summe der Einzelfenste-/Türrflächen und der Fensterkippflächen
</t>
        </r>
      </text>
    </comment>
  </commentList>
</comments>
</file>

<file path=xl/sharedStrings.xml><?xml version="1.0" encoding="utf-8"?>
<sst xmlns="http://schemas.openxmlformats.org/spreadsheetml/2006/main" count="213" uniqueCount="169">
  <si>
    <t>Raum</t>
  </si>
  <si>
    <t>Empfänger</t>
  </si>
  <si>
    <t>Virionen</t>
  </si>
  <si>
    <t>Quelle</t>
  </si>
  <si>
    <t>Ergebnis</t>
  </si>
  <si>
    <t>Virionen/min</t>
  </si>
  <si>
    <t>Aerosol-Innenraum-Simulator</t>
  </si>
  <si>
    <t>Raumvolumen:</t>
  </si>
  <si>
    <t>m3</t>
  </si>
  <si>
    <t>min.</t>
  </si>
  <si>
    <t>m</t>
  </si>
  <si>
    <t>m2</t>
  </si>
  <si>
    <t>Luftwechselrate Frischluftanteil:</t>
  </si>
  <si>
    <t>/h</t>
  </si>
  <si>
    <t>Lüftung</t>
  </si>
  <si>
    <t>Luftwechselrate über Filterung/ UV</t>
  </si>
  <si>
    <t>Art der Lüftung:</t>
  </si>
  <si>
    <t>Lüftungsdauer:</t>
  </si>
  <si>
    <t>Lüftungsintervall:</t>
  </si>
  <si>
    <t>Virusvarianten</t>
  </si>
  <si>
    <t>Zeit vor Eintreffen</t>
  </si>
  <si>
    <t>Gemeinsame Zeit</t>
  </si>
  <si>
    <t>Sprechen</t>
  </si>
  <si>
    <t>Schweigen</t>
  </si>
  <si>
    <t>Virion/min.</t>
  </si>
  <si>
    <t>Normal Anteil 20%</t>
  </si>
  <si>
    <t>Normal Anteil 40%</t>
  </si>
  <si>
    <t>Normal Anteil 60%</t>
  </si>
  <si>
    <t>Normal Anteil 80%</t>
  </si>
  <si>
    <t>Normal Anteil 100%</t>
  </si>
  <si>
    <t>Laut Anteil 20%</t>
  </si>
  <si>
    <t>Laut Anteil 40%</t>
  </si>
  <si>
    <t>Laut Anteil 60%</t>
  </si>
  <si>
    <t>Laut Anteil 80%</t>
  </si>
  <si>
    <t>Laut Anteil 100%</t>
  </si>
  <si>
    <t>Körperaktivität</t>
  </si>
  <si>
    <t>aktive Ruhe</t>
  </si>
  <si>
    <t>AMV</t>
  </si>
  <si>
    <t>mittelschwer</t>
  </si>
  <si>
    <t>schwer</t>
  </si>
  <si>
    <t>Maskenart</t>
  </si>
  <si>
    <t>Filterwirkung</t>
  </si>
  <si>
    <t>Leckage</t>
  </si>
  <si>
    <t>Art der Lüftung</t>
  </si>
  <si>
    <t>Wildtyp</t>
  </si>
  <si>
    <t>B 1.1.7 England</t>
  </si>
  <si>
    <t>Infektionsdosis</t>
  </si>
  <si>
    <t>Virusabsterberate</t>
  </si>
  <si>
    <t>Fenster gekippt</t>
  </si>
  <si>
    <t>LWR /h</t>
  </si>
  <si>
    <t>Querlüftung</t>
  </si>
  <si>
    <t>Sprechen*:</t>
  </si>
  <si>
    <t>Körperaktivität*:</t>
  </si>
  <si>
    <t>Maskenart*:</t>
  </si>
  <si>
    <t>Keine</t>
  </si>
  <si>
    <t>Empfänger im Raum*:</t>
  </si>
  <si>
    <t>im Raum mit Quelle*:</t>
  </si>
  <si>
    <t>Virusvariante*:</t>
  </si>
  <si>
    <t>Fläche*:</t>
  </si>
  <si>
    <t>Höhe*:</t>
  </si>
  <si>
    <t>B 1.351 Südafrika</t>
  </si>
  <si>
    <t>Effektive Luftwechselrate:</t>
  </si>
  <si>
    <t>FFP1 ohne Ventil</t>
  </si>
  <si>
    <t>FFP1 mit Ventil</t>
  </si>
  <si>
    <t>FFP2 ohne Ventil</t>
  </si>
  <si>
    <t>FFP2 mit Ventil</t>
  </si>
  <si>
    <t>FFP3 mit Ventil</t>
  </si>
  <si>
    <t>Med. Maske</t>
  </si>
  <si>
    <t>Stoffmaske</t>
  </si>
  <si>
    <t>Vollständige Leckage</t>
  </si>
  <si>
    <t>Gesichtsvisier</t>
  </si>
  <si>
    <t>P1-Filter und Halbmaske</t>
  </si>
  <si>
    <t>P2-Filter und Halbmaske</t>
  </si>
  <si>
    <t>P3-Filter und Halbmaske</t>
  </si>
  <si>
    <t>P1-Filter und Vollmaske</t>
  </si>
  <si>
    <t>P2-Filter und Vollmaske</t>
  </si>
  <si>
    <t>P3-Filter und Vollmaske</t>
  </si>
  <si>
    <t>P-Gebläsefilter TH1</t>
  </si>
  <si>
    <t>P-Gebläsefilter TH2</t>
  </si>
  <si>
    <t>P-Gebläsefilter TH3</t>
  </si>
  <si>
    <t>Isoliergerät</t>
  </si>
  <si>
    <t>Effektivität ex</t>
  </si>
  <si>
    <t>Effektivität in</t>
  </si>
  <si>
    <t>FFP3 ohne Ventil</t>
  </si>
  <si>
    <t>m3/min</t>
  </si>
  <si>
    <t>Virionen/m3</t>
  </si>
  <si>
    <t>Effektive Virus-Emission:</t>
  </si>
  <si>
    <t>Aufnahme Empfänger:</t>
  </si>
  <si>
    <t>Tropfenkollision</t>
  </si>
  <si>
    <t>Grad</t>
  </si>
  <si>
    <t>Bewertung</t>
  </si>
  <si>
    <t>Viruskonzentration Raum:</t>
  </si>
  <si>
    <t>Hinweise</t>
  </si>
  <si>
    <t>Infektionsrisiko:</t>
  </si>
  <si>
    <t>incl. Virusverluste:</t>
  </si>
  <si>
    <t>=</t>
  </si>
  <si>
    <t>Außentemp.*:</t>
  </si>
  <si>
    <t>- mit effizienter Luftführung:</t>
  </si>
  <si>
    <t>% 80. Perzentil</t>
  </si>
  <si>
    <t>- mit einfacher Luftführung (mobil):</t>
  </si>
  <si>
    <t>Fenster/Türfläche:</t>
  </si>
  <si>
    <t>&lt;10</t>
  </si>
  <si>
    <t>Luftströmungen können Aerosole von einer Person</t>
  </si>
  <si>
    <t>zur anderen transportieren. Auf Position achten!</t>
  </si>
  <si>
    <t xml:space="preserve">leicht </t>
  </si>
  <si>
    <t>ohne Beücksichtigung von sozialen Kontakten</t>
  </si>
  <si>
    <t>Die Bewertung der Raumsituation ist abhängig von der Aerosolmenge, die von einer</t>
  </si>
  <si>
    <t>infektiösen Quelle freigesetzt wird. Dabei gibt es große individuelle Unterschiede.</t>
  </si>
  <si>
    <t xml:space="preserve">SARS-CoV-2 </t>
  </si>
  <si>
    <t>Für die Bewertung wird das 80. Perzentil infektiöser Personen verwendet. Das heißt, dass</t>
  </si>
  <si>
    <t>die Bewertung für die Verhältnisse von mehr als 80% der Fälle zutreffend ist. Bei sogenannten</t>
  </si>
  <si>
    <t xml:space="preserve">Superspreading-Events können auch deutlich höhere Aerosolmengen freigesetzt werden. </t>
  </si>
  <si>
    <t>Die Bewertung beruht auf der Annahme, dass Aerosole zu jeder Zeit im Raum gleich verteilt sind.</t>
  </si>
  <si>
    <t>Risiken, die aus einer Nähe zur Quelle entstehen, werden nicht berücksichtigt. Diese</t>
  </si>
  <si>
    <t>sind im Corona-Simulator zu ermitteln.</t>
  </si>
  <si>
    <t>Bewertung von Risiken und Schutzmaßnahmen bei frei schwebenden Aerosolen im Raum</t>
  </si>
  <si>
    <t>Keine Vorhersage von Erkrankungen</t>
  </si>
  <si>
    <t xml:space="preserve">Mobilgeräte mit einfacher Luftführung saugen die Raumluft an einer Stelle an, reinigen die Luft über HEPA-Filter oder UV-C-Strahlung </t>
  </si>
  <si>
    <t>Versuche haben gezeigt, dass die Reinigungsleistung durch das Wiederansaugen bereits gereinigter Luft in der Nähe des Gerätes extrem</t>
  </si>
  <si>
    <t>gut, mit zunehmender Entfernung allerdings immer schlechter wird. Damit entsteht eine dauernde hochgradige Ungleichverteilung der</t>
  </si>
  <si>
    <t>Aerosole im Raum. Durch das Wiederansaugen bereits gereinigter Luft kann der Wirkungsgrad erheblich absinken.</t>
  </si>
  <si>
    <t>In der Praxis ist davon auszugehen, dass in unmittelbarer</t>
  </si>
  <si>
    <t>Luftwechselrate:</t>
  </si>
  <si>
    <t>&lt;C&gt; Dr. med. Andreas Paaßen</t>
  </si>
  <si>
    <t>Einseitige Lüftung</t>
  </si>
  <si>
    <t>Gut</t>
  </si>
  <si>
    <t>riskant</t>
  </si>
  <si>
    <t>und blasen sie wieder aus ohne besondere Vorkehrungen für die Luftführung im Raum.</t>
  </si>
  <si>
    <t>1.</t>
  </si>
  <si>
    <t xml:space="preserve">2. </t>
  </si>
  <si>
    <t>Evans et al., 2020; Avoiding COVID-19: Aerosol guidelines; Department of Physics, Massachusetts Institute of Technology, Cambridge</t>
  </si>
  <si>
    <t>3.</t>
  </si>
  <si>
    <t>4.</t>
  </si>
  <si>
    <t>Atkinson et al., 2009: Natural Ventilation for Infection Control in Health-Care Settings; World Health Organization</t>
  </si>
  <si>
    <t>5.</t>
  </si>
  <si>
    <t>Paul Hewett, Exposure Assessment Solutions, Inc. (www.easinc.co)</t>
  </si>
  <si>
    <t xml:space="preserve">Bazant et al. ,2020; Beyond Six Feet: A Guideline to Limit Indoor Airborne Transmission of COVID-19;  </t>
  </si>
  <si>
    <t>Department of Chemical Engineering, Department of Mathematics, Massachusetts Institute of Technology, Cambridge</t>
  </si>
  <si>
    <t>Miller et al., 2020; Transmission of SARS-CoV-2 by inhalation of respiratory aerosol in the Skagit Valley Chorale superspreading event</t>
  </si>
  <si>
    <t>FAQ - Häufige Fragen</t>
  </si>
  <si>
    <t>Was zeigt die Bewertung im Simulator an?</t>
  </si>
  <si>
    <t>Die Bewertung zeigt eine gute Belüftung mit niedrigen Konzentrationen an aktiven Viren (Virionen) mit Verweis auf blaue und grüne Farbgebung an. Eine Innenraumluft mit einer</t>
  </si>
  <si>
    <t>Was bedeutet das 80. Perzentil?</t>
  </si>
  <si>
    <t>höheren Konzentration an Virionen wird im roten Bereich angezeigt. Dabei gibt es wegen der vielen beeinflussenden Faktoren keinen präzisen Grenzwert. Deshalb wird eine</t>
  </si>
  <si>
    <t>Übergangszone von Grün nach Rot angezeigt. Zusammenfassend gesagt je grüner die Farbgebung, desto besser die Lüftung.</t>
  </si>
  <si>
    <t xml:space="preserve">Risiken durch Aerosole im Innenraum werden durch viele verschiedene Faktoren bestimmt. Darunter sind physikalische Faktoren bei der Aerosolbildung und bei  Luftströmungen. </t>
  </si>
  <si>
    <t>Andere Faktoren sind personenbedingt und weisen sehr erhebliche individuelle Unterschiede auf wie bei der Quelle die momentane Infektiosität bzw. Virusausscheidung und</t>
  </si>
  <si>
    <t xml:space="preserve">beim Empfänger die momentane Infektionsbereitschaft. Wegen dieser Unsicherheit werden die personenbezogenen Faktoren so betrachtet, dass für jeden Faktor der Wert </t>
  </si>
  <si>
    <t>angenommen wird, in dem mindestens 80% der möglichen Werte der Verteilung liegen. Da diese Annahme für jeden Faktor getroffen wird, ist bei der Kombination mit einer</t>
  </si>
  <si>
    <t xml:space="preserve">Abdeckung von deutlich mehr als 80% der möglichen Fälle zu rechnen. Das heißt konkret, in seltenen Fällen (&lt;20%) können bei Superspreadern auch deutlich höhere   </t>
  </si>
  <si>
    <t xml:space="preserve">Ansteckungsrisiken nicht ausgeschlossen werden. Im Regelfall weisen mehr als 80% der Fälle ein geringeres bis maximal zum angegebenen Infektionsrisiko auf. </t>
  </si>
  <si>
    <t>Grundsätzlich zeigt die 7-Tages-Inzidenzrate die Wahrscheinlichkeit an, dass Personen infektiös sein können. Bei einer Inzidenz von 100 ist momentan mit 1 infektiösen Person auf 1.000</t>
  </si>
  <si>
    <t xml:space="preserve"> zu rechnen. Dieses Risiko gilt für jede Person im Raum, also ist die Inzidenzrate mit der Personenanzahl zu multiplizieren. In diesem Innenraum-Simulator wird das individuelle </t>
  </si>
  <si>
    <t>Ansteckungsrisiko für den Fall berechnet, dass eine infektiöse Person (Quelle) im Raum ist. Dieses Risiko wird durch die Gesamtanzahl der Personen nicht beeinflusst.</t>
  </si>
  <si>
    <t>Welche Bedeutung hat die Personenanzahl im Raum?</t>
  </si>
  <si>
    <t>Ist es sinnvoll C02-Messungen durchzuführen?</t>
  </si>
  <si>
    <t>Das individuelle Ansteckungsrisiko hängt ausschließlich ab von der Viruskonzentration im Raum. Der Co2-Wert hängt ausschließlich ab von der Personenzahl. Deshalb ist der CO2-Wert</t>
  </si>
  <si>
    <t>kein Maß für eine Ansteckungsgefährdung. Sehr viel präziser ist die Steuerung durch feste Lüftungszeiten, die in diesem Simulator ermittelt werden können.</t>
  </si>
  <si>
    <t xml:space="preserve">Was ist unterscheidet eine einseitige Lüftung von der Querlüftung? </t>
  </si>
  <si>
    <t xml:space="preserve">Eine einseitige Lüftung ist eine Lüftung übers Zu- und Abluftöffnungen in einer Außenwand. Bei Querlüftung sind die Öffnungen in gegenüberliegenden Außenwänden. Wegen des </t>
  </si>
  <si>
    <t xml:space="preserve">Kamineffektes ist die Querlüftung deutlich effektiver. Lüftungen können kontinuierlich (Fenster kippen) oder kurzzeitig als Stoßlüftung vorgenommen werden. Die erforderliche Dauer </t>
  </si>
  <si>
    <t>der Lüftung  hängt von den Temperaturunterschieden zwischen Räumlichkeit und Außenluft ab.</t>
  </si>
  <si>
    <t>Literatur zur Adaptation von Berechnungen</t>
  </si>
  <si>
    <t xml:space="preserve">Reinigungsleistung besteht. Bei größerer Entfernung </t>
  </si>
  <si>
    <t>z.B. über 2 m ist die Wirkung nur unsicher einzuschätzen.</t>
  </si>
  <si>
    <t>Nähe des Luftreinigungsgerätes eine sehr hohe</t>
  </si>
  <si>
    <t>Klima/ Belüftung</t>
  </si>
  <si>
    <t>Version 1.2</t>
  </si>
  <si>
    <t>B 1.617.2 Delta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</si>
</sst>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5" x14ac:knownFonts="1">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1"/>
      <color theme="1"/>
      <name val="Symbol"/>
      <family val="1"/>
      <charset val="2"/>
    </font>
    <font>
      <sz val="9"/>
      <color indexed="81"/>
      <name val="Segoe UI"/>
      <charset val="1"/>
    </font>
    <font>
      <b/>
      <sz val="9"/>
      <color indexed="81"/>
      <name val="Segoe UI"/>
      <family val="2"/>
    </font>
    <font>
      <sz val="9"/>
      <color indexed="81"/>
      <name val="Segoe UI"/>
      <family val="2"/>
    </font>
    <font>
      <sz val="10"/>
      <color theme="1"/>
      <name val="Calibri"/>
      <family val="2"/>
      <scheme val="minor"/>
    </font>
    <font>
      <sz val="11"/>
      <color theme="4" tint="0.79998168889431442"/>
      <name val="Calibri"/>
      <family val="2"/>
      <scheme val="minor"/>
    </font>
    <font>
      <b/>
      <sz val="11"/>
      <color rgb="FFFFFF99"/>
      <name val="Calibri"/>
      <family val="2"/>
    </font>
    <font>
      <sz val="11"/>
      <color rgb="FFFFFF99"/>
      <name val="Calibri"/>
      <family val="2"/>
      <scheme val="minor"/>
    </font>
    <font>
      <sz val="11"/>
      <name val="Calibri"/>
      <family val="2"/>
      <scheme val="minor"/>
    </font>
    <font>
      <i/>
      <sz val="11"/>
      <color theme="0"/>
      <name val="Calibri"/>
      <family val="2"/>
      <scheme val="minor"/>
    </font>
  </fonts>
  <fills count="14">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rgb="FFFF0000"/>
        <bgColor indexed="64"/>
      </patternFill>
    </fill>
    <fill>
      <patternFill patternType="solid">
        <fgColor theme="4"/>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rgb="FFFFFF99"/>
        <bgColor indexed="64"/>
      </patternFill>
    </fill>
    <fill>
      <gradientFill degree="90">
        <stop position="0">
          <color rgb="FF00B050"/>
        </stop>
        <stop position="1">
          <color rgb="FF00B0F0"/>
        </stop>
      </gradientFill>
    </fill>
    <fill>
      <gradientFill degree="90">
        <stop position="0">
          <color rgb="FFFF0000"/>
        </stop>
        <stop position="1">
          <color rgb="FF00B050"/>
        </stop>
      </gradientFill>
    </fill>
    <fill>
      <patternFill patternType="solid">
        <fgColor rgb="FFFF0000"/>
        <bgColor auto="1"/>
      </patternFill>
    </fill>
    <fill>
      <patternFill patternType="solid">
        <fgColor rgb="FF0070C0"/>
        <bgColor indexed="64"/>
      </patternFill>
    </fill>
    <fill>
      <patternFill patternType="solid">
        <fgColor theme="4" tint="0.39997558519241921"/>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
    <xf numFmtId="0" fontId="0" fillId="0" borderId="0"/>
  </cellStyleXfs>
  <cellXfs count="96">
    <xf numFmtId="0" fontId="0" fillId="0" borderId="0" xfId="0"/>
    <xf numFmtId="0" fontId="4" fillId="12" borderId="0" xfId="0" applyFont="1" applyFill="1" applyBorder="1" applyAlignment="1" applyProtection="1">
      <alignment horizontal="left"/>
      <protection hidden="1"/>
    </xf>
    <xf numFmtId="0" fontId="4" fillId="5" borderId="0" xfId="0" applyFont="1" applyFill="1" applyProtection="1">
      <protection hidden="1"/>
    </xf>
    <xf numFmtId="0" fontId="0" fillId="0" borderId="0" xfId="0" applyProtection="1">
      <protection hidden="1"/>
    </xf>
    <xf numFmtId="0" fontId="0" fillId="13" borderId="0" xfId="0" applyFill="1" applyProtection="1">
      <protection hidden="1"/>
    </xf>
    <xf numFmtId="0" fontId="0" fillId="12" borderId="0" xfId="0" applyFill="1" applyBorder="1" applyProtection="1">
      <protection hidden="1"/>
    </xf>
    <xf numFmtId="0" fontId="0" fillId="12" borderId="0" xfId="0" applyFill="1" applyProtection="1">
      <protection hidden="1"/>
    </xf>
    <xf numFmtId="0" fontId="1" fillId="12" borderId="0" xfId="0" applyFont="1" applyFill="1" applyBorder="1" applyProtection="1">
      <protection hidden="1"/>
    </xf>
    <xf numFmtId="0" fontId="1" fillId="12" borderId="0" xfId="0" applyFont="1" applyFill="1" applyBorder="1" applyAlignment="1" applyProtection="1">
      <alignment horizontal="left"/>
      <protection hidden="1"/>
    </xf>
    <xf numFmtId="0" fontId="3" fillId="12" borderId="0" xfId="0" applyFont="1" applyFill="1" applyBorder="1" applyAlignment="1" applyProtection="1">
      <alignment horizontal="left"/>
      <protection hidden="1"/>
    </xf>
    <xf numFmtId="0" fontId="14" fillId="12" borderId="0" xfId="0" applyFont="1" applyFill="1" applyBorder="1" applyAlignment="1" applyProtection="1">
      <alignment horizontal="left"/>
      <protection hidden="1"/>
    </xf>
    <xf numFmtId="0" fontId="3" fillId="12" borderId="0" xfId="0" applyFont="1" applyFill="1" applyBorder="1" applyAlignment="1" applyProtection="1">
      <alignment horizontal="right"/>
      <protection hidden="1"/>
    </xf>
    <xf numFmtId="0" fontId="0" fillId="12" borderId="0" xfId="0" applyFill="1" applyBorder="1" applyAlignment="1" applyProtection="1">
      <alignment horizontal="left"/>
      <protection hidden="1"/>
    </xf>
    <xf numFmtId="0" fontId="0" fillId="0" borderId="0" xfId="0" applyFill="1" applyBorder="1" applyProtection="1">
      <protection hidden="1"/>
    </xf>
    <xf numFmtId="0" fontId="3" fillId="0" borderId="0" xfId="0" applyFont="1" applyFill="1" applyBorder="1" applyAlignment="1" applyProtection="1">
      <alignment horizontal="left"/>
      <protection hidden="1"/>
    </xf>
    <xf numFmtId="0" fontId="0" fillId="0" borderId="0" xfId="0" applyFill="1" applyBorder="1" applyAlignment="1" applyProtection="1">
      <alignment horizontal="center"/>
      <protection hidden="1"/>
    </xf>
    <xf numFmtId="0" fontId="0" fillId="6" borderId="0" xfId="0" applyFill="1" applyBorder="1" applyProtection="1">
      <protection hidden="1"/>
    </xf>
    <xf numFmtId="0" fontId="3" fillId="6" borderId="0" xfId="0" applyFont="1" applyFill="1" applyBorder="1" applyAlignment="1" applyProtection="1">
      <alignment horizontal="right"/>
      <protection hidden="1"/>
    </xf>
    <xf numFmtId="0" fontId="0" fillId="6" borderId="0" xfId="0" applyFill="1" applyBorder="1" applyAlignment="1" applyProtection="1">
      <alignment horizontal="center"/>
      <protection hidden="1"/>
    </xf>
    <xf numFmtId="0" fontId="0" fillId="6" borderId="0" xfId="0" applyFill="1" applyProtection="1">
      <protection hidden="1"/>
    </xf>
    <xf numFmtId="0" fontId="3" fillId="6" borderId="0" xfId="0" applyFont="1" applyFill="1" applyBorder="1" applyAlignment="1" applyProtection="1">
      <alignment horizontal="left"/>
      <protection hidden="1"/>
    </xf>
    <xf numFmtId="0" fontId="0" fillId="6" borderId="0" xfId="0" applyFill="1" applyBorder="1" applyAlignment="1" applyProtection="1">
      <alignment horizontal="right"/>
      <protection hidden="1"/>
    </xf>
    <xf numFmtId="164" fontId="0" fillId="6" borderId="0" xfId="0" applyNumberFormat="1" applyFill="1" applyBorder="1" applyAlignment="1" applyProtection="1">
      <alignment horizontal="center"/>
      <protection hidden="1"/>
    </xf>
    <xf numFmtId="0" fontId="9" fillId="6" borderId="0" xfId="0" applyFont="1" applyFill="1" applyBorder="1" applyProtection="1">
      <protection hidden="1"/>
    </xf>
    <xf numFmtId="0" fontId="2" fillId="6" borderId="0" xfId="0" applyFont="1" applyFill="1" applyBorder="1" applyAlignment="1" applyProtection="1">
      <alignment horizontal="center"/>
      <protection hidden="1"/>
    </xf>
    <xf numFmtId="0" fontId="0" fillId="6" borderId="0" xfId="0" quotePrefix="1" applyFill="1" applyBorder="1" applyProtection="1">
      <protection hidden="1"/>
    </xf>
    <xf numFmtId="9" fontId="0" fillId="6" borderId="0" xfId="0" applyNumberFormat="1" applyFill="1" applyBorder="1" applyAlignment="1" applyProtection="1">
      <alignment horizontal="center"/>
      <protection hidden="1"/>
    </xf>
    <xf numFmtId="0" fontId="9" fillId="6" borderId="0" xfId="0" applyFont="1" applyFill="1" applyBorder="1" applyAlignment="1" applyProtection="1">
      <alignment horizontal="right"/>
      <protection hidden="1"/>
    </xf>
    <xf numFmtId="0" fontId="9" fillId="6" borderId="0" xfId="0" applyFont="1" applyFill="1" applyBorder="1" applyAlignment="1" applyProtection="1">
      <alignment horizontal="center"/>
      <protection hidden="1"/>
    </xf>
    <xf numFmtId="0" fontId="9" fillId="6" borderId="0" xfId="0" quotePrefix="1" applyFont="1" applyFill="1" applyBorder="1" applyProtection="1">
      <protection hidden="1"/>
    </xf>
    <xf numFmtId="0" fontId="3" fillId="0" borderId="0" xfId="0" applyFont="1" applyFill="1" applyBorder="1" applyAlignment="1" applyProtection="1">
      <alignment horizontal="right"/>
      <protection hidden="1"/>
    </xf>
    <xf numFmtId="0" fontId="0" fillId="0" borderId="0" xfId="0" applyFill="1" applyBorder="1" applyAlignment="1" applyProtection="1">
      <alignment horizontal="right"/>
      <protection hidden="1"/>
    </xf>
    <xf numFmtId="164" fontId="4" fillId="0" borderId="0" xfId="0" applyNumberFormat="1" applyFont="1" applyFill="1" applyBorder="1" applyAlignment="1" applyProtection="1">
      <alignment horizontal="center"/>
      <protection hidden="1"/>
    </xf>
    <xf numFmtId="9" fontId="0" fillId="0" borderId="0" xfId="0" applyNumberFormat="1" applyFill="1" applyBorder="1" applyAlignment="1" applyProtection="1">
      <alignment horizontal="center"/>
      <protection hidden="1"/>
    </xf>
    <xf numFmtId="2" fontId="4" fillId="0" borderId="0" xfId="0" applyNumberFormat="1" applyFont="1" applyFill="1" applyBorder="1" applyAlignment="1" applyProtection="1">
      <alignment horizontal="center"/>
      <protection hidden="1"/>
    </xf>
    <xf numFmtId="2" fontId="0" fillId="0" borderId="0" xfId="0" applyNumberFormat="1" applyFill="1" applyBorder="1" applyAlignment="1" applyProtection="1">
      <alignment horizontal="center"/>
      <protection hidden="1"/>
    </xf>
    <xf numFmtId="0" fontId="0" fillId="5" borderId="0" xfId="0" applyFill="1" applyProtection="1">
      <protection hidden="1"/>
    </xf>
    <xf numFmtId="0" fontId="1" fillId="5" borderId="0" xfId="0" applyFont="1" applyFill="1" applyProtection="1">
      <protection hidden="1"/>
    </xf>
    <xf numFmtId="0" fontId="0" fillId="0" borderId="0" xfId="0" applyFill="1" applyProtection="1">
      <protection hidden="1"/>
    </xf>
    <xf numFmtId="0" fontId="3" fillId="6" borderId="0" xfId="0" applyFont="1" applyFill="1" applyProtection="1">
      <protection hidden="1"/>
    </xf>
    <xf numFmtId="0" fontId="3" fillId="3" borderId="2" xfId="0" applyFont="1" applyFill="1" applyBorder="1" applyProtection="1">
      <protection hidden="1"/>
    </xf>
    <xf numFmtId="0" fontId="0" fillId="3" borderId="3" xfId="0" applyFill="1" applyBorder="1" applyProtection="1">
      <protection hidden="1"/>
    </xf>
    <xf numFmtId="0" fontId="0" fillId="3" borderId="4" xfId="0" applyFill="1" applyBorder="1" applyProtection="1">
      <protection hidden="1"/>
    </xf>
    <xf numFmtId="0" fontId="0" fillId="7" borderId="0" xfId="0" applyFill="1" applyProtection="1">
      <protection hidden="1"/>
    </xf>
    <xf numFmtId="0" fontId="0" fillId="0" borderId="1" xfId="0" applyFill="1" applyBorder="1" applyProtection="1">
      <protection hidden="1"/>
    </xf>
    <xf numFmtId="0" fontId="10" fillId="7" borderId="0" xfId="0" applyFont="1" applyFill="1" applyProtection="1">
      <protection hidden="1"/>
    </xf>
    <xf numFmtId="0" fontId="0" fillId="2" borderId="1" xfId="0" applyFill="1" applyBorder="1" applyProtection="1">
      <protection hidden="1"/>
    </xf>
    <xf numFmtId="0" fontId="0" fillId="8" borderId="5" xfId="0" applyFill="1" applyBorder="1" applyProtection="1">
      <protection hidden="1"/>
    </xf>
    <xf numFmtId="0" fontId="0" fillId="8" borderId="0" xfId="0" applyFill="1" applyBorder="1" applyProtection="1">
      <protection hidden="1"/>
    </xf>
    <xf numFmtId="0" fontId="0" fillId="8" borderId="6" xfId="0" applyFill="1" applyBorder="1" applyProtection="1">
      <protection hidden="1"/>
    </xf>
    <xf numFmtId="2" fontId="0" fillId="8" borderId="1" xfId="0" applyNumberFormat="1" applyFill="1" applyBorder="1" applyProtection="1">
      <protection hidden="1"/>
    </xf>
    <xf numFmtId="0" fontId="11" fillId="8" borderId="5" xfId="0" applyFont="1" applyFill="1" applyBorder="1" applyAlignment="1" applyProtection="1">
      <alignment horizontal="right"/>
      <protection hidden="1"/>
    </xf>
    <xf numFmtId="0" fontId="0" fillId="4" borderId="0" xfId="0" applyFill="1" applyBorder="1" applyProtection="1">
      <protection hidden="1"/>
    </xf>
    <xf numFmtId="0" fontId="12" fillId="8" borderId="6" xfId="0" applyFont="1" applyFill="1" applyBorder="1" applyProtection="1">
      <protection hidden="1"/>
    </xf>
    <xf numFmtId="0" fontId="12" fillId="8" borderId="5" xfId="0" applyFont="1" applyFill="1" applyBorder="1" applyAlignment="1" applyProtection="1">
      <alignment horizontal="right"/>
      <protection hidden="1"/>
    </xf>
    <xf numFmtId="0" fontId="0" fillId="8" borderId="5" xfId="0" quotePrefix="1" applyFill="1" applyBorder="1" applyAlignment="1" applyProtection="1">
      <alignment horizontal="right"/>
      <protection hidden="1"/>
    </xf>
    <xf numFmtId="0" fontId="0" fillId="7" borderId="1" xfId="0" applyFill="1" applyBorder="1" applyProtection="1">
      <protection hidden="1"/>
    </xf>
    <xf numFmtId="0" fontId="0" fillId="8" borderId="5" xfId="0" applyFill="1" applyBorder="1" applyAlignment="1" applyProtection="1">
      <alignment horizontal="left"/>
      <protection hidden="1"/>
    </xf>
    <xf numFmtId="0" fontId="0" fillId="8" borderId="1" xfId="0" applyFill="1" applyBorder="1" applyProtection="1">
      <protection hidden="1"/>
    </xf>
    <xf numFmtId="0" fontId="0" fillId="7" borderId="0" xfId="0" applyFill="1" applyBorder="1" applyProtection="1">
      <protection hidden="1"/>
    </xf>
    <xf numFmtId="0" fontId="0" fillId="11" borderId="0" xfId="0" applyFill="1" applyBorder="1" applyAlignment="1" applyProtection="1">
      <protection hidden="1"/>
    </xf>
    <xf numFmtId="2" fontId="13" fillId="7" borderId="0" xfId="0" applyNumberFormat="1" applyFont="1" applyFill="1" applyBorder="1" applyProtection="1">
      <protection hidden="1"/>
    </xf>
    <xf numFmtId="0" fontId="0" fillId="4" borderId="0" xfId="0" applyFill="1" applyBorder="1" applyAlignment="1" applyProtection="1">
      <protection hidden="1"/>
    </xf>
    <xf numFmtId="2" fontId="0" fillId="8" borderId="0" xfId="0" applyNumberFormat="1" applyFill="1" applyBorder="1" applyProtection="1">
      <protection hidden="1"/>
    </xf>
    <xf numFmtId="0" fontId="13" fillId="0" borderId="0" xfId="0" applyFont="1" applyFill="1" applyProtection="1">
      <protection hidden="1"/>
    </xf>
    <xf numFmtId="2" fontId="13" fillId="7" borderId="0" xfId="0" applyNumberFormat="1" applyFont="1" applyFill="1" applyProtection="1">
      <protection hidden="1"/>
    </xf>
    <xf numFmtId="0" fontId="0" fillId="7" borderId="0" xfId="0" quotePrefix="1" applyFill="1" applyProtection="1">
      <protection hidden="1"/>
    </xf>
    <xf numFmtId="0" fontId="3" fillId="8" borderId="5" xfId="0" applyFont="1" applyFill="1" applyBorder="1" applyProtection="1">
      <protection hidden="1"/>
    </xf>
    <xf numFmtId="0" fontId="3" fillId="6" borderId="0" xfId="0" applyFont="1" applyFill="1" applyBorder="1" applyProtection="1">
      <protection hidden="1"/>
    </xf>
    <xf numFmtId="0" fontId="0" fillId="9" borderId="0" xfId="0" applyFill="1" applyBorder="1" applyProtection="1">
      <protection hidden="1"/>
    </xf>
    <xf numFmtId="0" fontId="0" fillId="8" borderId="0" xfId="0" applyFill="1" applyBorder="1" applyAlignment="1" applyProtection="1">
      <alignment horizontal="center"/>
      <protection hidden="1"/>
    </xf>
    <xf numFmtId="0" fontId="3" fillId="7" borderId="0" xfId="0" applyFont="1" applyFill="1" applyBorder="1" applyProtection="1">
      <protection hidden="1"/>
    </xf>
    <xf numFmtId="0" fontId="0" fillId="8" borderId="7" xfId="0" applyFill="1" applyBorder="1" applyProtection="1">
      <protection hidden="1"/>
    </xf>
    <xf numFmtId="0" fontId="0" fillId="8" borderId="8" xfId="0" applyFill="1" applyBorder="1" applyProtection="1">
      <protection hidden="1"/>
    </xf>
    <xf numFmtId="0" fontId="0" fillId="8" borderId="9" xfId="0" applyFill="1" applyBorder="1" applyProtection="1">
      <protection hidden="1"/>
    </xf>
    <xf numFmtId="0" fontId="3" fillId="8" borderId="7" xfId="0" applyFont="1" applyFill="1" applyBorder="1" applyProtection="1">
      <protection hidden="1"/>
    </xf>
    <xf numFmtId="0" fontId="4" fillId="2" borderId="0" xfId="0" applyFont="1" applyFill="1" applyProtection="1">
      <protection hidden="1"/>
    </xf>
    <xf numFmtId="0" fontId="0" fillId="2" borderId="0" xfId="0" applyFill="1" applyProtection="1">
      <protection hidden="1"/>
    </xf>
    <xf numFmtId="0" fontId="0" fillId="7" borderId="0" xfId="0" applyFill="1" applyAlignment="1" applyProtection="1">
      <alignment vertical="center"/>
      <protection hidden="1"/>
    </xf>
    <xf numFmtId="0" fontId="5" fillId="0" borderId="0" xfId="0" applyFont="1" applyAlignment="1" applyProtection="1">
      <alignment horizontal="left" vertical="center" indent="4"/>
      <protection hidden="1"/>
    </xf>
    <xf numFmtId="0" fontId="3" fillId="6" borderId="0" xfId="0" applyFont="1" applyFill="1" applyAlignment="1" applyProtection="1">
      <alignment vertical="center"/>
      <protection hidden="1"/>
    </xf>
    <xf numFmtId="0" fontId="0" fillId="0" borderId="0" xfId="0" applyAlignment="1" applyProtection="1">
      <alignment vertical="center"/>
      <protection hidden="1"/>
    </xf>
    <xf numFmtId="0" fontId="0" fillId="0" borderId="0" xfId="0" applyAlignment="1" applyProtection="1">
      <protection hidden="1"/>
    </xf>
    <xf numFmtId="0" fontId="4" fillId="0" borderId="0" xfId="0" applyFont="1" applyFill="1" applyProtection="1">
      <protection hidden="1"/>
    </xf>
    <xf numFmtId="0" fontId="4" fillId="7" borderId="0" xfId="0" applyFont="1" applyFill="1" applyProtection="1">
      <protection hidden="1"/>
    </xf>
    <xf numFmtId="0" fontId="1" fillId="7" borderId="0" xfId="0" applyFont="1" applyFill="1" applyProtection="1">
      <protection hidden="1"/>
    </xf>
    <xf numFmtId="0" fontId="0" fillId="0" borderId="1" xfId="0" applyFill="1" applyBorder="1" applyProtection="1">
      <protection locked="0" hidden="1"/>
    </xf>
    <xf numFmtId="0" fontId="0" fillId="0" borderId="1" xfId="0" applyFill="1" applyBorder="1" applyAlignment="1" applyProtection="1">
      <alignment horizontal="center"/>
      <protection locked="0" hidden="1"/>
    </xf>
    <xf numFmtId="0" fontId="0" fillId="2" borderId="1" xfId="0" applyFill="1" applyBorder="1" applyProtection="1">
      <protection locked="0" hidden="1"/>
    </xf>
    <xf numFmtId="49" fontId="0" fillId="0" borderId="1" xfId="0" applyNumberFormat="1" applyBorder="1" applyAlignment="1" applyProtection="1">
      <alignment horizontal="right"/>
      <protection locked="0" hidden="1"/>
    </xf>
    <xf numFmtId="0" fontId="0" fillId="0" borderId="1" xfId="0" applyBorder="1" applyAlignment="1" applyProtection="1">
      <alignment horizontal="center"/>
      <protection locked="0" hidden="1"/>
    </xf>
    <xf numFmtId="0" fontId="0" fillId="0" borderId="1" xfId="0" applyBorder="1" applyProtection="1">
      <protection locked="0" hidden="1"/>
    </xf>
    <xf numFmtId="0" fontId="3" fillId="3" borderId="2" xfId="0" applyFont="1" applyFill="1" applyBorder="1" applyAlignment="1" applyProtection="1">
      <alignment horizontal="center"/>
      <protection hidden="1"/>
    </xf>
    <xf numFmtId="0" fontId="3" fillId="3" borderId="3" xfId="0" applyFont="1" applyFill="1" applyBorder="1" applyAlignment="1" applyProtection="1">
      <alignment horizontal="center"/>
      <protection hidden="1"/>
    </xf>
    <xf numFmtId="0" fontId="3" fillId="3" borderId="4" xfId="0" applyFont="1" applyFill="1" applyBorder="1" applyAlignment="1" applyProtection="1">
      <alignment horizontal="center"/>
      <protection hidden="1"/>
    </xf>
    <xf numFmtId="0" fontId="0" fillId="10" borderId="0" xfId="0" applyFill="1" applyBorder="1" applyAlignment="1" applyProtection="1">
      <protection hidden="1"/>
    </xf>
  </cellXfs>
  <cellStyles count="1">
    <cellStyle name="Standard" xfId="0" builtinId="0"/>
  </cellStyles>
  <dxfs count="2">
    <dxf>
      <fill>
        <gradientFill degree="90">
          <stop position="0">
            <color rgb="FFFFFF99"/>
          </stop>
          <stop position="0.5">
            <color theme="1"/>
          </stop>
          <stop position="1">
            <color rgb="FFFFFF99"/>
          </stop>
        </gradientFill>
      </fill>
    </dxf>
    <dxf>
      <fill>
        <gradientFill degree="90">
          <stop position="0">
            <color rgb="FFFFFF99"/>
          </stop>
          <stop position="0.5">
            <color theme="1"/>
          </stop>
          <stop position="1">
            <color rgb="FFFFFF99"/>
          </stop>
        </gradientFill>
      </fill>
    </dxf>
  </dxfs>
  <tableStyles count="0" defaultTableStyle="TableStyleMedium2" defaultPivotStyle="PivotStyleLight16"/>
  <colors>
    <mruColors>
      <color rgb="FFFFFF99"/>
      <color rgb="FFFF8D8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microsoft.com/office/2017/06/relationships/model3d" Target="../media/model3d1.glb"/></Relationships>
</file>

<file path=xl/drawings/drawing1.xml><?xml version="1.0" encoding="utf-8"?>
<xdr:wsDr xmlns:xdr="http://schemas.openxmlformats.org/drawingml/2006/spreadsheetDrawing" xmlns:a="http://schemas.openxmlformats.org/drawingml/2006/main">
  <xdr:twoCellAnchor editAs="oneCell">
    <xdr:from>
      <xdr:col>8</xdr:col>
      <xdr:colOff>133350</xdr:colOff>
      <xdr:row>5</xdr:row>
      <xdr:rowOff>38100</xdr:rowOff>
    </xdr:from>
    <xdr:to>
      <xdr:col>11</xdr:col>
      <xdr:colOff>355600</xdr:colOff>
      <xdr:row>13</xdr:row>
      <xdr:rowOff>146050</xdr:rowOff>
    </xdr:to>
    <xdr:pic>
      <xdr:nvPicPr>
        <xdr:cNvPr id="8" name="Grafik 7">
          <a:extLst>
            <a:ext uri="{FF2B5EF4-FFF2-40B4-BE49-F238E27FC236}">
              <a16:creationId xmlns:a16="http://schemas.microsoft.com/office/drawing/2014/main" id="{BA730D20-4B07-4D7A-976B-7C3EA28FAF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1150" y="958850"/>
          <a:ext cx="2508250" cy="1581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603250</xdr:colOff>
      <xdr:row>8</xdr:row>
      <xdr:rowOff>127000</xdr:rowOff>
    </xdr:from>
    <xdr:to>
      <xdr:col>10</xdr:col>
      <xdr:colOff>285750</xdr:colOff>
      <xdr:row>22</xdr:row>
      <xdr:rowOff>63500</xdr:rowOff>
    </xdr:to>
    <xdr:sp macro="" textlink="">
      <xdr:nvSpPr>
        <xdr:cNvPr id="4" name="Ellipse 3">
          <a:extLst>
            <a:ext uri="{FF2B5EF4-FFF2-40B4-BE49-F238E27FC236}">
              <a16:creationId xmlns:a16="http://schemas.microsoft.com/office/drawing/2014/main" id="{F628D046-742E-4473-B567-21CC9BB98509}"/>
            </a:ext>
          </a:extLst>
        </xdr:cNvPr>
        <xdr:cNvSpPr/>
      </xdr:nvSpPr>
      <xdr:spPr>
        <a:xfrm>
          <a:off x="3930650" y="1530350"/>
          <a:ext cx="2730500" cy="2514600"/>
        </a:xfrm>
        <a:prstGeom prst="ellipse">
          <a:avLst/>
        </a:prstGeom>
        <a:gradFill flip="none" rotWithShape="1">
          <a:gsLst>
            <a:gs pos="1000">
              <a:schemeClr val="accent1">
                <a:lumMod val="20000"/>
                <a:lumOff val="80000"/>
              </a:schemeClr>
            </a:gs>
            <a:gs pos="74000">
              <a:schemeClr val="accent1">
                <a:lumMod val="20000"/>
                <a:lumOff val="80000"/>
              </a:schemeClr>
            </a:gs>
            <a:gs pos="71000">
              <a:schemeClr val="accent1">
                <a:lumMod val="40000"/>
                <a:lumOff val="60000"/>
              </a:schemeClr>
            </a:gs>
            <a:gs pos="100000">
              <a:schemeClr val="accent1">
                <a:lumMod val="30000"/>
                <a:lumOff val="70000"/>
              </a:schemeClr>
            </a:gs>
          </a:gsLst>
          <a:path path="circle">
            <a:fillToRect l="50000" t="50000" r="50000" b="50000"/>
          </a:path>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7</xdr:col>
      <xdr:colOff>508000</xdr:colOff>
      <xdr:row>11</xdr:row>
      <xdr:rowOff>127000</xdr:rowOff>
    </xdr:from>
    <xdr:to>
      <xdr:col>9</xdr:col>
      <xdr:colOff>419100</xdr:colOff>
      <xdr:row>19</xdr:row>
      <xdr:rowOff>158750</xdr:rowOff>
    </xdr:to>
    <xdr:sp macro="" textlink="">
      <xdr:nvSpPr>
        <xdr:cNvPr id="3" name="Ellipse 2">
          <a:extLst>
            <a:ext uri="{FF2B5EF4-FFF2-40B4-BE49-F238E27FC236}">
              <a16:creationId xmlns:a16="http://schemas.microsoft.com/office/drawing/2014/main" id="{3BFE6986-677C-4372-96DC-5FC45F8949F1}"/>
            </a:ext>
          </a:extLst>
        </xdr:cNvPr>
        <xdr:cNvSpPr/>
      </xdr:nvSpPr>
      <xdr:spPr>
        <a:xfrm>
          <a:off x="4597400" y="2082800"/>
          <a:ext cx="1435100" cy="1504950"/>
        </a:xfrm>
        <a:prstGeom prst="ellipse">
          <a:avLst/>
        </a:prstGeom>
        <a:gradFill flip="none" rotWithShape="1">
          <a:gsLst>
            <a:gs pos="52000">
              <a:schemeClr val="accent1">
                <a:lumMod val="5000"/>
                <a:lumOff val="95000"/>
              </a:schemeClr>
            </a:gs>
            <a:gs pos="74000">
              <a:schemeClr val="accent1">
                <a:lumMod val="20000"/>
                <a:lumOff val="80000"/>
              </a:schemeClr>
            </a:gs>
            <a:gs pos="83000">
              <a:schemeClr val="accent1">
                <a:lumMod val="45000"/>
                <a:lumOff val="55000"/>
              </a:schemeClr>
            </a:gs>
            <a:gs pos="100000">
              <a:schemeClr val="accent1">
                <a:lumMod val="30000"/>
                <a:lumOff val="70000"/>
              </a:schemeClr>
            </a:gs>
          </a:gsLst>
          <a:path path="circle">
            <a:fillToRect l="50000" t="50000" r="50000" b="50000"/>
          </a:path>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8</xdr:col>
      <xdr:colOff>225594</xdr:colOff>
      <xdr:row>13</xdr:row>
      <xdr:rowOff>85606</xdr:rowOff>
    </xdr:from>
    <xdr:to>
      <xdr:col>9</xdr:col>
      <xdr:colOff>111395</xdr:colOff>
      <xdr:row>18</xdr:row>
      <xdr:rowOff>142069</xdr:rowOff>
    </xdr:to>
    <mc:AlternateContent xmlns:mc="http://schemas.openxmlformats.org/markup-compatibility/2006">
      <mc:Choice xmlns:am3d="http://schemas.microsoft.com/office/drawing/2017/model3d" Requires="am3d">
        <xdr:graphicFrame macro="">
          <xdr:nvGraphicFramePr>
            <xdr:cNvPr id="2" name="3D-Modell 1" descr="Xbox One S">
              <a:extLst>
                <a:ext uri="{FF2B5EF4-FFF2-40B4-BE49-F238E27FC236}">
                  <a16:creationId xmlns:a16="http://schemas.microsoft.com/office/drawing/2014/main" id="{73C8F06E-C692-4236-8BD3-7403E6DCFA5C}"/>
                </a:ext>
              </a:extLst>
            </xdr:cNvPr>
            <xdr:cNvGraphicFramePr>
              <a:graphicFrameLocks noChangeAspect="1"/>
            </xdr:cNvGraphicFramePr>
          </xdr:nvGraphicFramePr>
          <xdr:xfrm>
            <a:off x="0" y="0"/>
            <a:ext cx="0" cy="0"/>
          </xdr:xfrm>
          <a:graphic>
            <a:graphicData uri="http://schemas.microsoft.com/office/drawing/2017/model3d">
              <am3d:model3d xmlns:r="http://schemas.openxmlformats.org/officeDocument/2006/relationships" r:embed="rId1">
                <am3d:spPr>
                  <a:xfrm>
                    <a:off x="0" y="0"/>
                    <a:ext cx="670661" cy="970863"/>
                  </a:xfrm>
                  <a:prstGeom prst="rect">
                    <a:avLst/>
                  </a:prstGeom>
                </am3d:spPr>
                <am3d:camera>
                  <am3d:pos x="0" y="0" z="60272811"/>
                  <am3d:up dx="0" dy="36000000" dz="0"/>
                  <am3d:lookAt x="0" y="0" z="0"/>
                  <am3d:perspective fov="2700000"/>
                </am3d:camera>
                <am3d:trans>
                  <am3d:meterPerModelUnit n="3240062" d="1000000"/>
                  <am3d:preTrans dx="0" dy="-18000000" dz="0"/>
                  <am3d:scale>
                    <am3d:sx n="1000000" d="1000000"/>
                    <am3d:sy n="1000000" d="1000000"/>
                    <am3d:sz n="1000000" d="1000000"/>
                  </am3d:scale>
                  <am3d:rot ax="1227060" ay="-2616766" az="-865513"/>
                  <am3d:postTrans dx="0" dy="0" dz="0"/>
                </am3d:trans>
                <am3d:raster rName="Office3DRenderer" rVer="16.0.8326">
                  <am3d:blip r:embed="rId2"/>
                </am3d:raster>
                <am3d:objViewport viewportSz="997434"/>
                <am3d:ambientLight>
                  <am3d:clr>
                    <a:scrgbClr r="50000" g="50000" b="50000"/>
                  </am3d:clr>
                  <am3d:illuminance n="500000" d="1000000"/>
                </am3d:ambientLight>
                <am3d:ptLight rad="0">
                  <am3d:clr>
                    <a:scrgbClr r="100000" g="75000" b="50000"/>
                  </am3d:clr>
                  <am3d:intensity n="9765625" d="1000000"/>
                  <am3d:pos x="21959998" y="70920001" z="16344003"/>
                </am3d:ptLight>
                <am3d:ptLight rad="0">
                  <am3d:clr>
                    <a:scrgbClr r="40000" g="60000" b="95000"/>
                  </am3d:clr>
                  <am3d:intensity n="12250000" d="1000000"/>
                  <am3d:pos x="-37964106" y="51130435" z="57631972"/>
                </am3d:ptLight>
                <am3d:ptLight rad="0">
                  <am3d:clr>
                    <a:scrgbClr r="86837" g="72700" b="100000"/>
                  </am3d:clr>
                  <am3d:intensity n="3125000" d="1000000"/>
                  <am3d:pos x="-37739122" y="58056624" z="-34769649"/>
                </am3d:ptLight>
              </am3d:model3d>
            </a:graphicData>
          </a:graphic>
        </xdr:graphicFrame>
      </mc:Choice>
      <mc:Fallback>
        <xdr:pic>
          <xdr:nvPicPr>
            <xdr:cNvPr id="2" name="3D-Modell 1" descr="Xbox One S">
              <a:extLst>
                <a:ext uri="{FF2B5EF4-FFF2-40B4-BE49-F238E27FC236}">
                  <a16:creationId xmlns:a16="http://schemas.microsoft.com/office/drawing/2014/main" id="{73C8F06E-C692-4236-8BD3-7403E6DCFA5C}"/>
                </a:ext>
              </a:extLst>
            </xdr:cNvPr>
            <xdr:cNvPicPr>
              <a:picLocks noGrp="1" noRot="1" noChangeAspect="1" noMove="1" noResize="1" noEditPoints="1" noAdjustHandles="1" noChangeArrowheads="1" noChangeShapeType="1" noCrop="1"/>
            </xdr:cNvPicPr>
          </xdr:nvPicPr>
          <xdr:blipFill>
            <a:blip xmlns:r="http://schemas.openxmlformats.org/officeDocument/2006/relationships" r:embed="rId2"/>
            <a:stretch>
              <a:fillRect/>
            </a:stretch>
          </xdr:blipFill>
          <xdr:spPr>
            <a:xfrm>
              <a:off x="5199376" y="2364679"/>
              <a:ext cx="668583" cy="957008"/>
            </a:xfrm>
            <a:prstGeom prst="rect">
              <a:avLst/>
            </a:prstGeom>
          </xdr:spPr>
        </xdr:pic>
      </mc:Fallback>
    </mc:AlternateContent>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BD35E-A50F-466D-8C69-FB698E11D79E}">
  <dimension ref="A1:L35"/>
  <sheetViews>
    <sheetView tabSelected="1" zoomScale="120" zoomScaleNormal="120" workbookViewId="0">
      <selection activeCell="D25" sqref="D25"/>
    </sheetView>
  </sheetViews>
  <sheetFormatPr baseColWidth="10" defaultColWidth="11.44140625" defaultRowHeight="14.4" x14ac:dyDescent="0.3"/>
  <cols>
    <col min="1" max="1" width="11.44140625" style="3"/>
    <col min="2" max="2" width="11.6640625" style="3" customWidth="1"/>
    <col min="3" max="5" width="11.44140625" style="3"/>
    <col min="6" max="6" width="16.33203125" style="3" customWidth="1"/>
    <col min="7" max="16384" width="11.44140625" style="3"/>
  </cols>
  <sheetData>
    <row r="1" spans="1:12" x14ac:dyDescent="0.3">
      <c r="A1" s="5"/>
      <c r="B1" s="5"/>
      <c r="C1" s="5"/>
      <c r="D1" s="5"/>
      <c r="E1" s="5"/>
      <c r="F1" s="5"/>
      <c r="G1" s="5"/>
      <c r="H1" s="5"/>
      <c r="I1" s="5"/>
      <c r="J1" s="5"/>
      <c r="K1" s="5"/>
      <c r="L1" s="6"/>
    </row>
    <row r="2" spans="1:12" x14ac:dyDescent="0.3">
      <c r="A2" s="5"/>
      <c r="B2" s="7" t="s">
        <v>108</v>
      </c>
      <c r="C2" s="8" t="s">
        <v>6</v>
      </c>
      <c r="D2" s="9"/>
      <c r="E2" s="9"/>
      <c r="F2" s="1" t="s">
        <v>167</v>
      </c>
      <c r="G2" s="10"/>
      <c r="H2" s="10" t="s">
        <v>123</v>
      </c>
      <c r="I2" s="5"/>
      <c r="J2" s="5"/>
      <c r="K2" s="5"/>
      <c r="L2" s="6"/>
    </row>
    <row r="3" spans="1:12" x14ac:dyDescent="0.3">
      <c r="A3" s="5"/>
      <c r="B3" s="5"/>
      <c r="C3" s="11"/>
      <c r="D3" s="12"/>
      <c r="E3" s="12"/>
      <c r="F3" s="12"/>
      <c r="G3" s="12"/>
      <c r="H3" s="12"/>
      <c r="I3" s="5"/>
      <c r="J3" s="5"/>
      <c r="K3" s="5"/>
      <c r="L3" s="6"/>
    </row>
    <row r="4" spans="1:12" x14ac:dyDescent="0.3">
      <c r="A4" s="13"/>
      <c r="B4" s="13"/>
      <c r="C4" s="14"/>
      <c r="D4" s="15"/>
      <c r="E4" s="13"/>
      <c r="F4" s="13"/>
      <c r="G4" s="13"/>
      <c r="H4" s="13"/>
      <c r="I4" s="13"/>
      <c r="J4" s="13"/>
      <c r="K4" s="13"/>
    </row>
    <row r="5" spans="1:12" x14ac:dyDescent="0.3">
      <c r="A5" s="16"/>
      <c r="B5" s="16"/>
      <c r="C5" s="17"/>
      <c r="D5" s="18"/>
      <c r="E5" s="16"/>
      <c r="F5" s="16"/>
      <c r="G5" s="16"/>
      <c r="H5" s="16"/>
      <c r="I5" s="16"/>
      <c r="J5" s="16"/>
      <c r="K5" s="16"/>
      <c r="L5" s="19"/>
    </row>
    <row r="6" spans="1:12" x14ac:dyDescent="0.3">
      <c r="A6" s="16"/>
      <c r="B6" s="16"/>
      <c r="C6" s="17"/>
      <c r="D6" s="18"/>
      <c r="E6" s="16"/>
      <c r="F6" s="16"/>
      <c r="G6" s="16"/>
      <c r="H6" s="16"/>
      <c r="I6" s="16"/>
      <c r="J6" s="16"/>
      <c r="K6" s="16"/>
      <c r="L6" s="19"/>
    </row>
    <row r="7" spans="1:12" x14ac:dyDescent="0.3">
      <c r="A7" s="16"/>
      <c r="B7" s="16" t="s">
        <v>115</v>
      </c>
      <c r="C7" s="20"/>
      <c r="D7" s="18"/>
      <c r="E7" s="16"/>
      <c r="F7" s="16"/>
      <c r="G7" s="20"/>
      <c r="H7" s="18"/>
      <c r="I7" s="16"/>
      <c r="J7" s="16"/>
      <c r="K7" s="16"/>
      <c r="L7" s="19"/>
    </row>
    <row r="8" spans="1:12" x14ac:dyDescent="0.3">
      <c r="A8" s="16"/>
      <c r="B8" s="16" t="s">
        <v>105</v>
      </c>
      <c r="C8" s="17"/>
      <c r="D8" s="18"/>
      <c r="E8" s="16"/>
      <c r="F8" s="16"/>
      <c r="G8" s="21"/>
      <c r="H8" s="22"/>
      <c r="I8" s="16"/>
      <c r="J8" s="16"/>
      <c r="K8" s="16"/>
      <c r="L8" s="19"/>
    </row>
    <row r="9" spans="1:12" x14ac:dyDescent="0.3">
      <c r="A9" s="16"/>
      <c r="B9" s="16" t="s">
        <v>116</v>
      </c>
      <c r="C9" s="17"/>
      <c r="D9" s="18"/>
      <c r="E9" s="16"/>
      <c r="F9" s="16"/>
      <c r="G9" s="21"/>
      <c r="H9" s="22"/>
      <c r="I9" s="16"/>
      <c r="J9" s="16"/>
      <c r="K9" s="16"/>
      <c r="L9" s="19"/>
    </row>
    <row r="10" spans="1:12" x14ac:dyDescent="0.3">
      <c r="A10" s="16"/>
      <c r="B10" s="19"/>
      <c r="C10" s="19"/>
      <c r="D10" s="19"/>
      <c r="E10" s="19"/>
      <c r="F10" s="19"/>
      <c r="G10" s="19"/>
      <c r="H10" s="19"/>
      <c r="I10" s="16"/>
      <c r="J10" s="16"/>
      <c r="K10" s="16"/>
      <c r="L10" s="19"/>
    </row>
    <row r="11" spans="1:12" x14ac:dyDescent="0.3">
      <c r="A11" s="16"/>
      <c r="B11" s="23" t="s">
        <v>106</v>
      </c>
      <c r="C11" s="21"/>
      <c r="D11" s="18"/>
      <c r="E11" s="16"/>
      <c r="F11" s="16"/>
      <c r="G11" s="16"/>
      <c r="H11" s="16"/>
      <c r="I11" s="16"/>
      <c r="J11" s="16"/>
      <c r="K11" s="16"/>
      <c r="L11" s="19"/>
    </row>
    <row r="12" spans="1:12" x14ac:dyDescent="0.3">
      <c r="A12" s="16"/>
      <c r="B12" s="23" t="s">
        <v>107</v>
      </c>
      <c r="C12" s="21"/>
      <c r="D12" s="18"/>
      <c r="E12" s="16"/>
      <c r="F12" s="16"/>
      <c r="G12" s="16"/>
      <c r="H12" s="16"/>
      <c r="I12" s="16"/>
      <c r="J12" s="16"/>
      <c r="K12" s="16"/>
      <c r="L12" s="19"/>
    </row>
    <row r="13" spans="1:12" x14ac:dyDescent="0.3">
      <c r="A13" s="16"/>
      <c r="B13" s="23" t="s">
        <v>109</v>
      </c>
      <c r="C13" s="20"/>
      <c r="D13" s="18"/>
      <c r="E13" s="16"/>
      <c r="F13" s="16"/>
      <c r="G13" s="20"/>
      <c r="H13" s="18"/>
      <c r="I13" s="16"/>
      <c r="J13" s="16"/>
      <c r="K13" s="16"/>
      <c r="L13" s="19"/>
    </row>
    <row r="14" spans="1:12" x14ac:dyDescent="0.3">
      <c r="A14" s="16"/>
      <c r="B14" s="23" t="s">
        <v>110</v>
      </c>
      <c r="C14" s="17"/>
      <c r="D14" s="24"/>
      <c r="E14" s="25"/>
      <c r="F14" s="16"/>
      <c r="G14" s="21"/>
      <c r="H14" s="18"/>
      <c r="I14" s="16"/>
      <c r="J14" s="16"/>
      <c r="K14" s="16"/>
      <c r="L14" s="19"/>
    </row>
    <row r="15" spans="1:12" x14ac:dyDescent="0.3">
      <c r="A15" s="16"/>
      <c r="B15" s="23" t="s">
        <v>111</v>
      </c>
      <c r="C15" s="17"/>
      <c r="D15" s="18"/>
      <c r="E15" s="25"/>
      <c r="F15" s="16"/>
      <c r="G15" s="21"/>
      <c r="H15" s="18"/>
      <c r="I15" s="16"/>
      <c r="J15" s="16"/>
      <c r="K15" s="16"/>
      <c r="L15" s="19"/>
    </row>
    <row r="16" spans="1:12" x14ac:dyDescent="0.3">
      <c r="A16" s="16"/>
      <c r="B16" s="16"/>
      <c r="C16" s="17"/>
      <c r="D16" s="18"/>
      <c r="E16" s="25"/>
      <c r="F16" s="16"/>
      <c r="G16" s="21"/>
      <c r="H16" s="26"/>
      <c r="I16" s="16"/>
      <c r="J16" s="16"/>
      <c r="K16" s="16"/>
      <c r="L16" s="19"/>
    </row>
    <row r="17" spans="1:12" x14ac:dyDescent="0.3">
      <c r="A17" s="16"/>
      <c r="B17" s="23" t="s">
        <v>112</v>
      </c>
      <c r="C17" s="17"/>
      <c r="D17" s="16"/>
      <c r="E17" s="25"/>
      <c r="F17" s="16"/>
      <c r="G17" s="21"/>
      <c r="H17" s="22"/>
      <c r="I17" s="16"/>
      <c r="J17" s="16"/>
      <c r="K17" s="16"/>
      <c r="L17" s="19"/>
    </row>
    <row r="18" spans="1:12" x14ac:dyDescent="0.3">
      <c r="A18" s="16"/>
      <c r="B18" s="23" t="s">
        <v>113</v>
      </c>
      <c r="C18" s="27"/>
      <c r="D18" s="28"/>
      <c r="E18" s="29"/>
      <c r="F18" s="23"/>
      <c r="G18" s="23"/>
      <c r="H18" s="16"/>
      <c r="I18" s="16"/>
      <c r="J18" s="16"/>
      <c r="K18" s="16"/>
      <c r="L18" s="19"/>
    </row>
    <row r="19" spans="1:12" x14ac:dyDescent="0.3">
      <c r="A19" s="16"/>
      <c r="B19" s="23" t="s">
        <v>114</v>
      </c>
      <c r="C19" s="27"/>
      <c r="D19" s="28"/>
      <c r="E19" s="23"/>
      <c r="F19" s="23"/>
      <c r="G19" s="23"/>
      <c r="H19" s="16"/>
      <c r="I19" s="16"/>
      <c r="J19" s="16"/>
      <c r="K19" s="16"/>
      <c r="L19" s="19"/>
    </row>
    <row r="20" spans="1:12" x14ac:dyDescent="0.3">
      <c r="A20" s="16"/>
      <c r="B20" s="16"/>
      <c r="C20" s="20"/>
      <c r="D20" s="18"/>
      <c r="E20" s="16"/>
      <c r="F20" s="16"/>
      <c r="G20" s="20"/>
      <c r="H20" s="16"/>
      <c r="I20" s="16"/>
      <c r="J20" s="16"/>
      <c r="K20" s="16"/>
      <c r="L20" s="19"/>
    </row>
    <row r="21" spans="1:12" x14ac:dyDescent="0.3">
      <c r="A21" s="13"/>
      <c r="B21" s="13"/>
      <c r="C21" s="30"/>
      <c r="D21" s="15"/>
      <c r="E21" s="13"/>
      <c r="F21" s="13"/>
      <c r="G21" s="31"/>
      <c r="H21" s="32"/>
      <c r="I21" s="13"/>
      <c r="J21" s="13"/>
      <c r="K21" s="13"/>
    </row>
    <row r="22" spans="1:12" x14ac:dyDescent="0.3">
      <c r="A22" s="13"/>
      <c r="B22" s="13"/>
      <c r="C22" s="30"/>
      <c r="D22" s="33"/>
      <c r="E22" s="13"/>
      <c r="F22" s="13"/>
      <c r="G22" s="31"/>
      <c r="H22" s="34"/>
      <c r="I22" s="13"/>
      <c r="J22" s="13"/>
      <c r="K22" s="13"/>
    </row>
    <row r="23" spans="1:12" x14ac:dyDescent="0.3">
      <c r="A23" s="13"/>
      <c r="B23" s="13"/>
      <c r="C23" s="31"/>
      <c r="D23" s="15"/>
      <c r="E23" s="13"/>
      <c r="F23" s="13"/>
      <c r="G23" s="13"/>
      <c r="H23" s="13"/>
      <c r="I23" s="13"/>
      <c r="J23" s="13"/>
      <c r="K23" s="13"/>
    </row>
    <row r="24" spans="1:12" x14ac:dyDescent="0.3">
      <c r="A24" s="13"/>
      <c r="B24" s="13"/>
      <c r="C24" s="31"/>
      <c r="D24" s="15"/>
      <c r="E24" s="13"/>
      <c r="F24" s="13"/>
      <c r="G24" s="31"/>
      <c r="H24" s="35"/>
      <c r="I24" s="13"/>
      <c r="J24" s="13"/>
      <c r="K24" s="13"/>
    </row>
    <row r="25" spans="1:12" x14ac:dyDescent="0.3">
      <c r="A25" s="13"/>
      <c r="B25" s="13"/>
      <c r="C25" s="13"/>
      <c r="D25" s="13"/>
      <c r="E25" s="13"/>
      <c r="F25" s="13"/>
      <c r="G25" s="13"/>
      <c r="H25" s="13"/>
      <c r="I25" s="13"/>
      <c r="J25" s="13"/>
      <c r="K25" s="13"/>
    </row>
    <row r="26" spans="1:12" x14ac:dyDescent="0.3">
      <c r="A26" s="13"/>
      <c r="B26" s="13"/>
      <c r="C26" s="13"/>
      <c r="D26" s="13"/>
      <c r="E26" s="13"/>
      <c r="F26" s="13"/>
      <c r="G26" s="13"/>
      <c r="H26" s="13"/>
      <c r="I26" s="13"/>
      <c r="J26" s="13"/>
      <c r="K26" s="13"/>
    </row>
    <row r="27" spans="1:12" x14ac:dyDescent="0.3">
      <c r="A27" s="13"/>
      <c r="B27" s="13"/>
      <c r="C27" s="13"/>
      <c r="D27" s="13"/>
      <c r="E27" s="13"/>
      <c r="F27" s="13"/>
      <c r="G27" s="13"/>
      <c r="H27" s="13"/>
      <c r="I27" s="13"/>
      <c r="J27" s="13"/>
      <c r="K27" s="13"/>
    </row>
    <row r="28" spans="1:12" x14ac:dyDescent="0.3">
      <c r="A28" s="13"/>
      <c r="B28" s="13"/>
      <c r="C28" s="13"/>
      <c r="D28" s="13"/>
      <c r="E28" s="13"/>
      <c r="F28" s="13"/>
      <c r="G28" s="13"/>
      <c r="H28" s="13"/>
      <c r="I28" s="13"/>
      <c r="J28" s="13"/>
      <c r="K28" s="13"/>
    </row>
    <row r="29" spans="1:12" x14ac:dyDescent="0.3">
      <c r="A29" s="13"/>
      <c r="B29" s="13"/>
      <c r="C29" s="13"/>
      <c r="D29" s="13"/>
      <c r="E29" s="13"/>
      <c r="F29" s="13"/>
      <c r="G29" s="13"/>
      <c r="H29" s="13"/>
      <c r="I29" s="13"/>
      <c r="J29" s="13"/>
      <c r="K29" s="13"/>
    </row>
    <row r="30" spans="1:12" x14ac:dyDescent="0.3">
      <c r="A30" s="13"/>
      <c r="B30" s="13"/>
      <c r="C30" s="13"/>
      <c r="D30" s="13"/>
      <c r="E30" s="13"/>
      <c r="F30" s="13"/>
      <c r="G30" s="13"/>
      <c r="H30" s="13"/>
      <c r="I30" s="13"/>
      <c r="J30" s="13"/>
      <c r="K30" s="13"/>
    </row>
    <row r="31" spans="1:12" x14ac:dyDescent="0.3">
      <c r="A31" s="13"/>
      <c r="B31" s="13"/>
      <c r="C31" s="13"/>
      <c r="D31" s="13"/>
      <c r="E31" s="13"/>
      <c r="F31" s="13"/>
      <c r="G31" s="13"/>
      <c r="H31" s="13"/>
      <c r="I31" s="13"/>
      <c r="J31" s="13"/>
      <c r="K31" s="13"/>
    </row>
    <row r="32" spans="1:12" x14ac:dyDescent="0.3">
      <c r="A32" s="13"/>
      <c r="B32" s="13"/>
      <c r="C32" s="13"/>
      <c r="D32" s="13"/>
      <c r="E32" s="13"/>
      <c r="F32" s="13"/>
      <c r="G32" s="13"/>
      <c r="H32" s="13"/>
      <c r="I32" s="13"/>
      <c r="J32" s="13"/>
      <c r="K32" s="13"/>
    </row>
    <row r="33" spans="1:11" x14ac:dyDescent="0.3">
      <c r="A33" s="13"/>
      <c r="B33" s="13"/>
      <c r="C33" s="13"/>
      <c r="D33" s="13"/>
      <c r="E33" s="13"/>
      <c r="F33" s="13"/>
      <c r="G33" s="13"/>
      <c r="H33" s="13"/>
      <c r="I33" s="13"/>
      <c r="J33" s="13"/>
      <c r="K33" s="13"/>
    </row>
    <row r="34" spans="1:11" x14ac:dyDescent="0.3">
      <c r="A34" s="13"/>
      <c r="B34" s="13"/>
      <c r="C34" s="13"/>
      <c r="D34" s="13"/>
      <c r="E34" s="13"/>
      <c r="F34" s="13"/>
      <c r="G34" s="13"/>
      <c r="H34" s="13"/>
      <c r="I34" s="13"/>
      <c r="J34" s="13"/>
      <c r="K34" s="13"/>
    </row>
    <row r="35" spans="1:11" x14ac:dyDescent="0.3">
      <c r="A35" s="13"/>
      <c r="B35" s="13"/>
      <c r="C35" s="13"/>
      <c r="D35" s="13"/>
      <c r="E35" s="13"/>
      <c r="F35" s="13"/>
      <c r="G35" s="13"/>
      <c r="H35" s="13"/>
      <c r="I35" s="13"/>
      <c r="J35" s="13"/>
      <c r="K35" s="13"/>
    </row>
  </sheetData>
  <sheetProtection algorithmName="SHA-512" hashValue="fN49KXfwamOwg39DeiejO3zZ5+z8sFzzdxlEeXsHJSdXfXX0LjUSxsA4QotC9FJ2Hv/uPF2rGQvcH1JeQoeETQ==" saltValue="IP9c8xYBVAK4N/lzEXZ4AQ==" spinCount="100000" sheet="1" objects="1" scenarios="1"/>
  <pageMargins left="0.7" right="0.7" top="0.78740157499999996" bottom="0.78740157499999996" header="0.3" footer="0.3"/>
  <pageSetup paperSize="9" orientation="portrait" r:id="rId1"/>
  <headerFooter>
    <oddFooter>&amp;L&amp;1#&amp;"Calibri"&amp;10&amp;K000000[internal]</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EED9F-A8AB-43B7-826D-AB306DCE3821}">
  <dimension ref="A1:W23"/>
  <sheetViews>
    <sheetView zoomScale="110" zoomScaleNormal="110" workbookViewId="0">
      <selection activeCell="H17" sqref="H17"/>
    </sheetView>
  </sheetViews>
  <sheetFormatPr baseColWidth="10" defaultColWidth="11.44140625" defaultRowHeight="14.4" x14ac:dyDescent="0.3"/>
  <cols>
    <col min="1" max="1" width="0.6640625" style="3" customWidth="1"/>
    <col min="2" max="2" width="19.44140625" style="3" customWidth="1"/>
    <col min="3" max="3" width="17.5546875" style="3" customWidth="1"/>
    <col min="4" max="4" width="4.33203125" style="3" customWidth="1"/>
    <col min="5" max="5" width="0.6640625" style="3" customWidth="1"/>
    <col min="6" max="6" width="12.6640625" style="3" customWidth="1"/>
    <col min="7" max="7" width="18.33203125" style="3" customWidth="1"/>
    <col min="8" max="8" width="6.109375" style="3" customWidth="1"/>
    <col min="9" max="9" width="2.5546875" style="3" customWidth="1"/>
    <col min="10" max="10" width="0.6640625" style="3" customWidth="1"/>
    <col min="11" max="11" width="16.5546875" style="3" customWidth="1"/>
    <col min="12" max="12" width="17.109375" style="3" customWidth="1"/>
    <col min="13" max="13" width="4.88671875" style="3" customWidth="1"/>
    <col min="14" max="14" width="0.6640625" style="3" customWidth="1"/>
    <col min="15" max="15" width="4.6640625" style="3" customWidth="1"/>
    <col min="16" max="16" width="6.33203125" style="3" customWidth="1"/>
    <col min="17" max="17" width="4.6640625" style="3" customWidth="1"/>
    <col min="18" max="18" width="0.6640625" style="3" customWidth="1"/>
    <col min="19" max="19" width="21.6640625" style="3" customWidth="1"/>
    <col min="20" max="20" width="8.6640625" style="3" customWidth="1"/>
    <col min="21" max="21" width="13.6640625" style="3" customWidth="1"/>
    <col min="22" max="22" width="10.88671875" style="3" hidden="1" customWidth="1"/>
    <col min="23" max="23" width="0" style="3" hidden="1" customWidth="1"/>
    <col min="24" max="16384" width="11.44140625" style="3"/>
  </cols>
  <sheetData>
    <row r="1" spans="1:23" x14ac:dyDescent="0.3">
      <c r="A1" s="2"/>
      <c r="B1" s="2"/>
      <c r="C1" s="2"/>
      <c r="D1" s="2"/>
      <c r="E1" s="2"/>
      <c r="F1" s="2"/>
      <c r="G1" s="2"/>
      <c r="H1" s="2"/>
      <c r="I1" s="2"/>
      <c r="J1" s="2"/>
      <c r="K1" s="2"/>
      <c r="L1" s="2"/>
      <c r="M1" s="2"/>
      <c r="N1" s="2"/>
      <c r="O1" s="2"/>
      <c r="P1" s="36"/>
      <c r="Q1" s="36"/>
      <c r="R1" s="36"/>
      <c r="S1" s="36"/>
      <c r="T1" s="36"/>
      <c r="U1" s="36"/>
    </row>
    <row r="2" spans="1:23" x14ac:dyDescent="0.3">
      <c r="A2" s="2"/>
      <c r="B2" s="37" t="s">
        <v>6</v>
      </c>
      <c r="C2" s="2"/>
      <c r="D2" s="2"/>
      <c r="E2" s="36"/>
      <c r="F2" s="2"/>
      <c r="G2" s="2"/>
      <c r="H2" s="2"/>
      <c r="I2" s="2"/>
      <c r="J2" s="2"/>
      <c r="K2" s="2" t="s">
        <v>167</v>
      </c>
      <c r="L2" s="2" t="s">
        <v>123</v>
      </c>
      <c r="M2" s="2"/>
      <c r="N2" s="2"/>
      <c r="O2" s="2"/>
      <c r="P2" s="36"/>
      <c r="Q2" s="36"/>
      <c r="R2" s="36"/>
      <c r="S2" s="36"/>
      <c r="T2" s="36"/>
      <c r="U2" s="36"/>
    </row>
    <row r="3" spans="1:23" x14ac:dyDescent="0.3">
      <c r="A3" s="2"/>
      <c r="B3" s="2"/>
      <c r="C3" s="2"/>
      <c r="D3" s="2"/>
      <c r="E3" s="2"/>
      <c r="F3" s="2"/>
      <c r="G3" s="2"/>
      <c r="H3" s="2"/>
      <c r="I3" s="2"/>
      <c r="J3" s="2"/>
      <c r="K3" s="2"/>
      <c r="L3" s="2"/>
      <c r="M3" s="2"/>
      <c r="N3" s="2"/>
      <c r="O3" s="2"/>
      <c r="P3" s="36"/>
      <c r="Q3" s="36"/>
      <c r="R3" s="36"/>
      <c r="S3" s="36"/>
      <c r="T3" s="36"/>
      <c r="U3" s="36"/>
    </row>
    <row r="4" spans="1:23" ht="15" thickBot="1" x14ac:dyDescent="0.35">
      <c r="M4" s="38"/>
    </row>
    <row r="5" spans="1:23" x14ac:dyDescent="0.3">
      <c r="B5" s="39" t="s">
        <v>3</v>
      </c>
      <c r="C5" s="19"/>
      <c r="D5" s="19"/>
      <c r="F5" s="39" t="s">
        <v>0</v>
      </c>
      <c r="G5" s="19"/>
      <c r="H5" s="19"/>
      <c r="I5" s="19"/>
      <c r="K5" s="39" t="s">
        <v>14</v>
      </c>
      <c r="L5" s="19"/>
      <c r="M5" s="19"/>
      <c r="N5" s="38"/>
      <c r="O5" s="92" t="s">
        <v>90</v>
      </c>
      <c r="P5" s="93"/>
      <c r="Q5" s="94"/>
      <c r="S5" s="40" t="s">
        <v>4</v>
      </c>
      <c r="T5" s="41"/>
      <c r="U5" s="42"/>
      <c r="V5" s="38"/>
      <c r="W5" s="38"/>
    </row>
    <row r="6" spans="1:23" x14ac:dyDescent="0.3">
      <c r="B6" s="43" t="s">
        <v>51</v>
      </c>
      <c r="C6" s="86" t="s">
        <v>23</v>
      </c>
      <c r="D6" s="45">
        <f>INDEX(Einstellungen!$B$3:$C$13,MATCH(C6,Einstellungen!$B$3:$B$13,0),2)*MAX(D7/10,1,D7/10)</f>
        <v>10</v>
      </c>
      <c r="F6" s="43" t="s">
        <v>58</v>
      </c>
      <c r="G6" s="88"/>
      <c r="H6" s="43" t="s">
        <v>11</v>
      </c>
      <c r="I6" s="43"/>
      <c r="K6" s="43" t="s">
        <v>96</v>
      </c>
      <c r="L6" s="89" t="s">
        <v>101</v>
      </c>
      <c r="M6" s="43" t="s">
        <v>89</v>
      </c>
      <c r="N6" s="38"/>
      <c r="O6" s="47"/>
      <c r="P6" s="48" t="s">
        <v>126</v>
      </c>
      <c r="Q6" s="49"/>
      <c r="S6" s="47" t="s">
        <v>86</v>
      </c>
      <c r="T6" s="50">
        <f>D6*D8</f>
        <v>10</v>
      </c>
      <c r="U6" s="49" t="s">
        <v>5</v>
      </c>
      <c r="V6" s="38"/>
      <c r="W6" s="38"/>
    </row>
    <row r="7" spans="1:23" x14ac:dyDescent="0.3">
      <c r="B7" s="43" t="s">
        <v>52</v>
      </c>
      <c r="C7" s="86" t="s">
        <v>36</v>
      </c>
      <c r="D7" s="45">
        <f>INDEX(Einstellungen!$E$3:$F$6,MATCH(C7,Einstellungen!$E$3:$E$6,0),2)</f>
        <v>8</v>
      </c>
      <c r="F7" s="43" t="s">
        <v>59</v>
      </c>
      <c r="G7" s="88"/>
      <c r="H7" s="43" t="s">
        <v>10</v>
      </c>
      <c r="I7" s="43"/>
      <c r="K7" s="43" t="s">
        <v>16</v>
      </c>
      <c r="L7" s="90" t="s">
        <v>124</v>
      </c>
      <c r="M7" s="45">
        <f>INDEX(Einstellungen!$N$3:$O$6,MATCH(L7,Einstellungen!$N$3:$N$6,0),2)</f>
        <v>15</v>
      </c>
      <c r="N7" s="38"/>
      <c r="O7" s="51" t="e">
        <f>IF(T13&gt;80,"-","")</f>
        <v>#DIV/0!</v>
      </c>
      <c r="P7" s="52"/>
      <c r="Q7" s="53" t="e">
        <f>O7</f>
        <v>#DIV/0!</v>
      </c>
      <c r="S7" s="47" t="s">
        <v>61</v>
      </c>
      <c r="T7" s="50" t="e">
        <f>H14+H17+T9+IF(NOT(ISBLANK(L7)),L11,0)+IF(NOT(ISBLANK(L12)),L16,0)+IF(NOT(ISBLANK(L17)),L21,0)+0.3</f>
        <v>#DIV/0!</v>
      </c>
      <c r="U7" s="49" t="s">
        <v>13</v>
      </c>
      <c r="V7" s="38"/>
      <c r="W7" s="38"/>
    </row>
    <row r="8" spans="1:23" x14ac:dyDescent="0.3">
      <c r="B8" s="43" t="s">
        <v>53</v>
      </c>
      <c r="C8" s="86" t="s">
        <v>54</v>
      </c>
      <c r="D8" s="45">
        <f>INDEX(Einstellungen!$H$3:$L$23,MATCH(C8,Einstellungen!$H$3:$H$23,0),4)</f>
        <v>1</v>
      </c>
      <c r="F8" s="43"/>
      <c r="G8" s="43"/>
      <c r="H8" s="43"/>
      <c r="I8" s="43"/>
      <c r="K8" s="43" t="s">
        <v>17</v>
      </c>
      <c r="L8" s="91"/>
      <c r="M8" s="43" t="s">
        <v>9</v>
      </c>
      <c r="N8" s="38"/>
      <c r="O8" s="54" t="e">
        <f>IF(AND(T13&gt;70,T13&lt;=80),"-"," ")</f>
        <v>#DIV/0!</v>
      </c>
      <c r="P8" s="52"/>
      <c r="Q8" s="53" t="e">
        <f t="shared" ref="Q8:Q19" si="0">O8</f>
        <v>#DIV/0!</v>
      </c>
      <c r="S8" s="55" t="s">
        <v>95</v>
      </c>
      <c r="T8" s="50" t="e">
        <f>T7*G9/60</f>
        <v>#DIV/0!</v>
      </c>
      <c r="U8" s="49" t="s">
        <v>84</v>
      </c>
      <c r="V8" s="38"/>
      <c r="W8" s="38"/>
    </row>
    <row r="9" spans="1:23" x14ac:dyDescent="0.3">
      <c r="B9" s="43" t="s">
        <v>20</v>
      </c>
      <c r="C9" s="43"/>
      <c r="D9" s="43"/>
      <c r="F9" s="43" t="s">
        <v>7</v>
      </c>
      <c r="G9" s="56">
        <f>G6*G7</f>
        <v>0</v>
      </c>
      <c r="H9" s="43" t="s">
        <v>8</v>
      </c>
      <c r="I9" s="45" t="e">
        <f>INDEX(Einstellungen!$N$7:$O$14,MATCH(#REF!,Einstellungen!$N$7:$N$14,0),2)</f>
        <v>#REF!</v>
      </c>
      <c r="K9" s="43" t="s">
        <v>18</v>
      </c>
      <c r="L9" s="91">
        <v>1</v>
      </c>
      <c r="M9" s="43" t="s">
        <v>9</v>
      </c>
      <c r="N9" s="38"/>
      <c r="O9" s="54" t="e">
        <f>IF(AND(T13&gt;60,T13&lt;=70),"-"," ")</f>
        <v>#DIV/0!</v>
      </c>
      <c r="P9" s="52"/>
      <c r="Q9" s="53" t="e">
        <f t="shared" si="0"/>
        <v>#DIV/0!</v>
      </c>
      <c r="S9" s="57" t="s">
        <v>94</v>
      </c>
      <c r="T9" s="58">
        <f>Einstellungen!R8+Einstellungen!R9</f>
        <v>0.91999999999999993</v>
      </c>
      <c r="U9" s="49" t="s">
        <v>13</v>
      </c>
      <c r="V9" s="38"/>
      <c r="W9" s="38"/>
    </row>
    <row r="10" spans="1:23" x14ac:dyDescent="0.3">
      <c r="B10" s="43" t="s">
        <v>55</v>
      </c>
      <c r="C10" s="86">
        <v>0</v>
      </c>
      <c r="D10" s="43" t="s">
        <v>9</v>
      </c>
      <c r="F10" s="43"/>
      <c r="G10" s="43"/>
      <c r="H10" s="43"/>
      <c r="I10" s="43"/>
      <c r="K10" s="59" t="s">
        <v>100</v>
      </c>
      <c r="L10" s="91"/>
      <c r="M10" s="59" t="s">
        <v>11</v>
      </c>
      <c r="N10" s="38"/>
      <c r="O10" s="54" t="e">
        <f>IF(AND(T13&gt;50,T13&lt;=60),"-"," ")</f>
        <v>#DIV/0!</v>
      </c>
      <c r="P10" s="60"/>
      <c r="Q10" s="53" t="e">
        <f t="shared" si="0"/>
        <v>#DIV/0!</v>
      </c>
      <c r="S10" s="47" t="s">
        <v>91</v>
      </c>
      <c r="T10" s="50" t="e">
        <f>T6/(T8)*(1-G9/(T8*(C17+C10))*(1-EXP(-T8*(C17+C10)/G9)))</f>
        <v>#DIV/0!</v>
      </c>
      <c r="U10" s="49" t="s">
        <v>85</v>
      </c>
      <c r="V10" s="38" t="e">
        <f>T6/(T8)*(1-G9/(T8*C10)*(1-EXP(-T8*C10/G9)))</f>
        <v>#DIV/0!</v>
      </c>
      <c r="W10" s="38"/>
    </row>
    <row r="11" spans="1:23" x14ac:dyDescent="0.3">
      <c r="F11" s="38"/>
      <c r="G11" s="38"/>
      <c r="H11" s="38"/>
      <c r="K11" s="43" t="s">
        <v>122</v>
      </c>
      <c r="L11" s="61" t="e">
        <f>IF(AND(NOT(ISBLANK(L7)),L9&gt;0),M7/60*L8*60/L9*IF(L6="&lt;10",1,IF(L6="10-17",0.5,0.3))*W11,0)</f>
        <v>#DIV/0!</v>
      </c>
      <c r="M11" s="43" t="s">
        <v>13</v>
      </c>
      <c r="N11" s="38"/>
      <c r="O11" s="54" t="e">
        <f>IF(AND(T13&gt;40,T13&lt;=50),"-"," ")</f>
        <v>#DIV/0!</v>
      </c>
      <c r="P11" s="62"/>
      <c r="Q11" s="53" t="e">
        <f t="shared" si="0"/>
        <v>#DIV/0!</v>
      </c>
      <c r="S11" s="47"/>
      <c r="T11" s="63"/>
      <c r="U11" s="49"/>
      <c r="V11" s="38"/>
      <c r="W11" s="64" t="e">
        <f>IF(L7="Fenster gekippt",MIN(L10*10/$G$6/0.35,1),IF(L7="Einseitige Lüftung",MIN(L10*10/$G$6/1.05,1),IF(L7="Querlüftung",MIN(L10*10/$G$6/0.6,1),0)))</f>
        <v>#DIV/0!</v>
      </c>
    </row>
    <row r="12" spans="1:23" x14ac:dyDescent="0.3">
      <c r="B12" s="39" t="s">
        <v>1</v>
      </c>
      <c r="C12" s="19"/>
      <c r="D12" s="19"/>
      <c r="F12" s="39" t="s">
        <v>166</v>
      </c>
      <c r="G12" s="19"/>
      <c r="H12" s="19"/>
      <c r="I12" s="19"/>
      <c r="K12" s="43" t="s">
        <v>16</v>
      </c>
      <c r="L12" s="90" t="s">
        <v>54</v>
      </c>
      <c r="M12" s="45">
        <f>INDEX(Einstellungen!$N$3:$O$6,MATCH(L12,Einstellungen!$N$3:$N$6,0),2)</f>
        <v>0</v>
      </c>
      <c r="N12" s="38"/>
      <c r="O12" s="54" t="e">
        <f>IF(AND(T13&gt;30,T13&lt;=40),"-"," ")</f>
        <v>#DIV/0!</v>
      </c>
      <c r="P12" s="95"/>
      <c r="Q12" s="53" t="e">
        <f t="shared" si="0"/>
        <v>#DIV/0!</v>
      </c>
      <c r="S12" s="47" t="s">
        <v>87</v>
      </c>
      <c r="T12" s="50" t="e">
        <f>T10*D15*D7*0.001*(C17+C10)-V12</f>
        <v>#DIV/0!</v>
      </c>
      <c r="U12" s="49" t="s">
        <v>2</v>
      </c>
      <c r="V12" s="38" t="e">
        <f>T10*D15*D7*0.001*C10</f>
        <v>#DIV/0!</v>
      </c>
      <c r="W12" s="38" t="e">
        <f>T10*D15*D7*0.001*(C17+C10)</f>
        <v>#DIV/0!</v>
      </c>
    </row>
    <row r="13" spans="1:23" x14ac:dyDescent="0.3">
      <c r="B13" s="43"/>
      <c r="C13" s="43"/>
      <c r="D13" s="43"/>
      <c r="F13" s="59"/>
      <c r="G13" s="43"/>
      <c r="H13" s="59"/>
      <c r="I13" s="43"/>
      <c r="K13" s="43" t="s">
        <v>17</v>
      </c>
      <c r="L13" s="91"/>
      <c r="M13" s="43" t="s">
        <v>9</v>
      </c>
      <c r="N13" s="38"/>
      <c r="O13" s="54" t="e">
        <f>IF(AND(T13&gt;20,T13&lt;=30),"-"," ")</f>
        <v>#DIV/0!</v>
      </c>
      <c r="P13" s="95"/>
      <c r="Q13" s="53" t="e">
        <f t="shared" si="0"/>
        <v>#DIV/0!</v>
      </c>
      <c r="S13" s="47" t="s">
        <v>93</v>
      </c>
      <c r="T13" s="50" t="e">
        <f>(1-EXP(-T12/D20))*100</f>
        <v>#DIV/0!</v>
      </c>
      <c r="U13" s="49" t="s">
        <v>98</v>
      </c>
      <c r="V13" s="38"/>
      <c r="W13" s="38"/>
    </row>
    <row r="14" spans="1:23" ht="15" thickBot="1" x14ac:dyDescent="0.35">
      <c r="B14" s="43" t="s">
        <v>52</v>
      </c>
      <c r="C14" s="86" t="s">
        <v>36</v>
      </c>
      <c r="D14" s="45">
        <f>INDEX(Einstellungen!$E$3:$F$6,MATCH(C14,Einstellungen!$E$3:$E$6,0),2)</f>
        <v>8</v>
      </c>
      <c r="F14" s="43" t="s">
        <v>12</v>
      </c>
      <c r="G14" s="43"/>
      <c r="H14" s="86">
        <v>0</v>
      </c>
      <c r="I14" s="43" t="s">
        <v>13</v>
      </c>
      <c r="K14" s="43" t="s">
        <v>18</v>
      </c>
      <c r="L14" s="91"/>
      <c r="M14" s="43" t="s">
        <v>9</v>
      </c>
      <c r="N14" s="38"/>
      <c r="O14" s="54" t="e">
        <f>IF(AND(T13&gt;10,T13&lt;=20),"-"," ")</f>
        <v>#DIV/0!</v>
      </c>
      <c r="P14" s="95"/>
      <c r="Q14" s="53" t="e">
        <f t="shared" si="0"/>
        <v>#DIV/0!</v>
      </c>
      <c r="S14" s="47"/>
      <c r="T14" s="48"/>
      <c r="U14" s="49"/>
      <c r="V14" s="38"/>
      <c r="W14" s="38"/>
    </row>
    <row r="15" spans="1:23" x14ac:dyDescent="0.3">
      <c r="B15" s="43" t="s">
        <v>53</v>
      </c>
      <c r="C15" s="86" t="s">
        <v>54</v>
      </c>
      <c r="D15" s="45">
        <f>INDEX(Einstellungen!$H$3:$L$23,MATCH(C15,Einstellungen!$H$3:$H$23,0),5)</f>
        <v>1</v>
      </c>
      <c r="F15" s="43"/>
      <c r="G15" s="43"/>
      <c r="H15" s="43"/>
      <c r="I15" s="43"/>
      <c r="K15" s="43" t="s">
        <v>100</v>
      </c>
      <c r="L15" s="91"/>
      <c r="M15" s="43" t="s">
        <v>11</v>
      </c>
      <c r="N15" s="38"/>
      <c r="O15" s="54" t="e">
        <f>IF(AND(T13&gt;7.5,T13&lt;=10),"-"," ")</f>
        <v>#DIV/0!</v>
      </c>
      <c r="P15" s="95"/>
      <c r="Q15" s="53" t="e">
        <f t="shared" si="0"/>
        <v>#DIV/0!</v>
      </c>
      <c r="R15" s="38"/>
      <c r="S15" s="40" t="s">
        <v>92</v>
      </c>
      <c r="T15" s="41"/>
      <c r="U15" s="42"/>
    </row>
    <row r="16" spans="1:23" x14ac:dyDescent="0.3">
      <c r="B16" s="43" t="s">
        <v>21</v>
      </c>
      <c r="C16" s="43"/>
      <c r="D16" s="43"/>
      <c r="F16" s="43" t="s">
        <v>15</v>
      </c>
      <c r="G16" s="43"/>
      <c r="H16" s="43"/>
      <c r="I16" s="43"/>
      <c r="K16" s="43" t="s">
        <v>122</v>
      </c>
      <c r="L16" s="65">
        <f>IF(AND(NOT(ISBLANK(L12)),L14&gt;0),M12/60*L13*60/L14*IF(L6="&lt;10",1,IF(L6="10-17",0.5,0.3))*W16,0)</f>
        <v>0</v>
      </c>
      <c r="M16" s="43" t="s">
        <v>13</v>
      </c>
      <c r="N16" s="38"/>
      <c r="O16" s="54" t="e">
        <f>IF(AND(T13&gt;5,T13&lt;=7.5),"-"," ")</f>
        <v>#DIV/0!</v>
      </c>
      <c r="P16" s="95"/>
      <c r="Q16" s="53" t="e">
        <f t="shared" si="0"/>
        <v>#DIV/0!</v>
      </c>
      <c r="R16" s="38"/>
      <c r="S16" s="47" t="s">
        <v>102</v>
      </c>
      <c r="T16" s="48"/>
      <c r="U16" s="49"/>
      <c r="W16" s="64">
        <f>IF(L12="Fenster gekippt",MIN(L15*10/G6/0.35,1),IF(L12="Einseitige Lüftung",MIN(L15*10/G6/1.05,1),IF(L12="Querlüftung",MIN(L15*10/G6/0.6,1),0)))</f>
        <v>0</v>
      </c>
    </row>
    <row r="17" spans="2:23" x14ac:dyDescent="0.3">
      <c r="B17" s="43" t="s">
        <v>56</v>
      </c>
      <c r="C17" s="86">
        <v>0</v>
      </c>
      <c r="D17" s="43" t="s">
        <v>9</v>
      </c>
      <c r="F17" s="66" t="s">
        <v>97</v>
      </c>
      <c r="G17" s="43"/>
      <c r="H17" s="86">
        <v>0</v>
      </c>
      <c r="I17" s="43" t="s">
        <v>13</v>
      </c>
      <c r="K17" s="43" t="s">
        <v>16</v>
      </c>
      <c r="L17" s="90" t="s">
        <v>54</v>
      </c>
      <c r="M17" s="45">
        <f>INDEX(Einstellungen!$N$3:$O$6,MATCH(L17,Einstellungen!$N$3:$N$6,0),2)</f>
        <v>0</v>
      </c>
      <c r="N17" s="38"/>
      <c r="O17" s="54" t="e">
        <f>IF(AND(T13&gt;2.5,T13&lt;=5),"-"," ")</f>
        <v>#DIV/0!</v>
      </c>
      <c r="P17" s="95"/>
      <c r="Q17" s="53" t="e">
        <f t="shared" si="0"/>
        <v>#DIV/0!</v>
      </c>
      <c r="S17" s="47" t="s">
        <v>103</v>
      </c>
      <c r="T17" s="48"/>
      <c r="U17" s="49"/>
    </row>
    <row r="18" spans="2:23" x14ac:dyDescent="0.3">
      <c r="F18" s="43"/>
      <c r="G18" s="43"/>
      <c r="H18" s="43"/>
      <c r="I18" s="43"/>
      <c r="K18" s="43" t="s">
        <v>17</v>
      </c>
      <c r="L18" s="91"/>
      <c r="M18" s="43" t="s">
        <v>9</v>
      </c>
      <c r="O18" s="54" t="e">
        <f>IF(AND(T13&gt;0.01,T13&lt;=2.5),"-"," ")</f>
        <v>#DIV/0!</v>
      </c>
      <c r="P18" s="95"/>
      <c r="Q18" s="53" t="e">
        <f t="shared" si="0"/>
        <v>#DIV/0!</v>
      </c>
      <c r="S18" s="67" t="str">
        <f>IF(H19&gt;0,"Die Wirkung des Mobilgerätes wurde bei der","")</f>
        <v/>
      </c>
      <c r="T18" s="48"/>
      <c r="U18" s="49"/>
    </row>
    <row r="19" spans="2:23" x14ac:dyDescent="0.3">
      <c r="B19" s="68" t="s">
        <v>19</v>
      </c>
      <c r="C19" s="19"/>
      <c r="D19" s="19"/>
      <c r="F19" s="66" t="s">
        <v>99</v>
      </c>
      <c r="G19" s="43"/>
      <c r="H19" s="86">
        <v>0</v>
      </c>
      <c r="I19" s="43" t="s">
        <v>13</v>
      </c>
      <c r="K19" s="43" t="s">
        <v>18</v>
      </c>
      <c r="L19" s="91"/>
      <c r="M19" s="43" t="s">
        <v>9</v>
      </c>
      <c r="O19" s="54" t="e">
        <f>IF(T13&lt;0.01,"-"," ")</f>
        <v>#DIV/0!</v>
      </c>
      <c r="P19" s="69"/>
      <c r="Q19" s="53" t="e">
        <f t="shared" si="0"/>
        <v>#DIV/0!</v>
      </c>
      <c r="S19" s="67" t="str">
        <f>IF(H19&gt;0,"Bewertung nicht berücksichtigt, da im Raum mit","")</f>
        <v/>
      </c>
      <c r="T19" s="48"/>
      <c r="U19" s="49"/>
    </row>
    <row r="20" spans="2:23" x14ac:dyDescent="0.3">
      <c r="B20" s="43" t="s">
        <v>57</v>
      </c>
      <c r="C20" s="87" t="s">
        <v>168</v>
      </c>
      <c r="D20" s="45">
        <f>INDEX(Einstellungen!$Q$3:$R$6,MATCH(C20,Einstellungen!$Q$3:$Q$6,0),2)</f>
        <v>42</v>
      </c>
      <c r="F20" s="45">
        <f>(H14+H17)*G9/60</f>
        <v>0</v>
      </c>
      <c r="G20" s="45" t="s">
        <v>84</v>
      </c>
      <c r="H20" s="43"/>
      <c r="I20" s="43"/>
      <c r="K20" s="43" t="s">
        <v>100</v>
      </c>
      <c r="L20" s="91"/>
      <c r="M20" s="43" t="s">
        <v>11</v>
      </c>
      <c r="O20" s="47"/>
      <c r="P20" s="70" t="s">
        <v>125</v>
      </c>
      <c r="Q20" s="49"/>
      <c r="S20" s="67" t="str">
        <f>IF(H19&gt;0,"einer sehr ungleichen Verteilung zu rechnen ist.","")</f>
        <v/>
      </c>
      <c r="T20" s="48"/>
      <c r="U20" s="49"/>
    </row>
    <row r="21" spans="2:23" ht="15" thickBot="1" x14ac:dyDescent="0.35">
      <c r="B21" s="71"/>
      <c r="C21" s="43"/>
      <c r="D21" s="43"/>
      <c r="F21" s="43"/>
      <c r="G21" s="43"/>
      <c r="H21" s="43"/>
      <c r="I21" s="43"/>
      <c r="K21" s="43" t="s">
        <v>122</v>
      </c>
      <c r="L21" s="65">
        <f>IF(AND(NOT(ISBLANK(L17)),L19&gt;0),M17/60*L18*60/L19*IF(L6="&lt;10",1,IF(L6="10-17",0.5,0.3))*W21,0)</f>
        <v>0</v>
      </c>
      <c r="M21" s="43" t="s">
        <v>13</v>
      </c>
      <c r="O21" s="72"/>
      <c r="P21" s="73"/>
      <c r="Q21" s="74"/>
      <c r="S21" s="75" t="str">
        <f>IF(H19&gt;0,"Zur Bewertung siehe Reiter 'Mobilgeräte'.","")</f>
        <v/>
      </c>
      <c r="T21" s="73"/>
      <c r="U21" s="74"/>
      <c r="W21" s="64">
        <f>IF(L17="Fenster gekippt",MIN(L20*10/G6/0.35,1),IF(L17="Einseitige Lüftung",MIN(L20*10/G6/1.05,1),IF(L17="Querlüftung",MIN(L20*10/G6/0.6,1),0)))</f>
        <v>0</v>
      </c>
    </row>
    <row r="22" spans="2:23" x14ac:dyDescent="0.3">
      <c r="B22" s="38"/>
      <c r="C22" s="38"/>
      <c r="D22" s="38"/>
    </row>
    <row r="23" spans="2:23" x14ac:dyDescent="0.3">
      <c r="B23" s="38"/>
      <c r="C23" s="38"/>
      <c r="D23" s="38"/>
    </row>
  </sheetData>
  <sheetProtection algorithmName="SHA-512" hashValue="AvsYwKkx5rOidJ/+aBHybZEXxsr32G3vfGQMr4JwWSpTf8xgQVXIMLxKcIZRoBxvs1eLOOZgZ2GxUz55r2wKNA==" saltValue="9mpb3DMnw1jDmpSmnllcdA==" spinCount="100000" sheet="1" objects="1" scenarios="1"/>
  <mergeCells count="2">
    <mergeCell ref="O5:Q5"/>
    <mergeCell ref="P12:P18"/>
  </mergeCells>
  <conditionalFormatting sqref="O7:O19">
    <cfRule type="cellIs" dxfId="1" priority="2" operator="equal">
      <formula>"-"</formula>
    </cfRule>
  </conditionalFormatting>
  <conditionalFormatting sqref="Q7:Q19">
    <cfRule type="cellIs" dxfId="0" priority="1" operator="equal">
      <formula>"-"</formula>
    </cfRule>
  </conditionalFormatting>
  <dataValidations count="10">
    <dataValidation type="list" allowBlank="1" showInputMessage="1" showErrorMessage="1" sqref="L6" xr:uid="{DDFA980D-02F9-44B9-BD7F-159E8E180636}">
      <formula1>"&lt;10,10-17,&gt;17"</formula1>
    </dataValidation>
    <dataValidation type="custom" allowBlank="1" showInputMessage="1" showErrorMessage="1" errorTitle="Lüftungsintervall" error="Lüftungsintervall darf nicht kleiner als  Lüftungsdauer sein." sqref="L19 L14" xr:uid="{A70145D6-AFAB-410E-8C44-D4EA1221E4BC}">
      <formula1>L14&gt;=L13</formula1>
    </dataValidation>
    <dataValidation type="custom" allowBlank="1" showInputMessage="1" showErrorMessage="1" errorTitle="Ungültige Eingabe" error="Lüftungsdauer muss größer 0 sein!" sqref="L8 L18 L13" xr:uid="{4E3666F8-BA15-47D6-86AE-0B0582059C96}">
      <formula1>L8&gt;0</formula1>
    </dataValidation>
    <dataValidation type="custom" allowBlank="1" showInputMessage="1" showErrorMessage="1" errorTitle="Ungültige Eingabe" error="Lüftungsintervall darf nicht kleiner als  Lüftungsdauer sein._x000a_." sqref="L9" xr:uid="{D2AAAD87-0E9B-4D98-B962-63ECD9B0D405}">
      <formula1>L9&gt;=L8</formula1>
    </dataValidation>
    <dataValidation type="custom" allowBlank="1" showInputMessage="1" showErrorMessage="1" errorTitle="Ungültige Eingabe" error="Zeitangabe muss größer gleich 0 sein._x000a_" sqref="D10" xr:uid="{8271F8D4-0AD2-4477-94E4-9768AA10FD94}">
      <formula1>C10&gt;=0</formula1>
    </dataValidation>
    <dataValidation type="custom" allowBlank="1" showInputMessage="1" showErrorMessage="1" errorTitle="Ungültige Eingabe" error="Die Zeitangabe darf nicht negativ sein." sqref="C10 C17" xr:uid="{3C21EB73-B682-4A6F-AC3A-B86304766CF1}">
      <formula1>C10&gt;=0</formula1>
    </dataValidation>
    <dataValidation type="custom" allowBlank="1" showInputMessage="1" showErrorMessage="1" errorTitle="Ungültige Eingabe" error="Die Angabe der Fläche muss größer 0 sein." sqref="G6" xr:uid="{703DA053-AB37-4098-8E72-725E25AA2008}">
      <formula1>G6&gt;0</formula1>
    </dataValidation>
    <dataValidation type="custom" allowBlank="1" showInputMessage="1" showErrorMessage="1" errorTitle="Ungültige Eingabe" error="Die Höhe muss größer 0 sein." sqref="H15" xr:uid="{747E19C0-06F5-4396-919C-45C6877E1A6B}">
      <formula1>G7&gt;0</formula1>
    </dataValidation>
    <dataValidation type="custom" allowBlank="1" showInputMessage="1" showErrorMessage="1" errorTitle="Ungültige Eingabe" error="Die Höhe muss größer 0 sein." sqref="G7" xr:uid="{C114497E-5EDA-45F0-9F01-1E1C63D0FB9D}">
      <formula1>G7&gt;0</formula1>
    </dataValidation>
    <dataValidation type="custom" allowBlank="1" showInputMessage="1" showErrorMessage="1" errorTitle="Ungültige Eingabe" error="Die Luftwechselrate muss größer oder gleich 0 sein." sqref="H14 H19 H17" xr:uid="{B56A8ED8-4F52-4039-B8D9-3FEC8C8FF3C8}">
      <formula1>H14&gt;=0</formula1>
    </dataValidation>
  </dataValidations>
  <pageMargins left="0.7" right="0.7" top="0.78740157499999996" bottom="0.78740157499999996" header="0.3" footer="0.3"/>
  <pageSetup paperSize="9" orientation="portrait" r:id="rId1"/>
  <headerFooter>
    <oddFooter>&amp;L&amp;1#&amp;"Calibri"&amp;10&amp;K000000[internal]</oddFooter>
  </headerFooter>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B095A68B-00D0-4D17-ACD3-44BEC23E7098}">
          <x14:formula1>
            <xm:f>Einstellungen!$B$3:$B$13</xm:f>
          </x14:formula1>
          <xm:sqref>C6</xm:sqref>
        </x14:dataValidation>
        <x14:dataValidation type="list" allowBlank="1" showInputMessage="1" showErrorMessage="1" xr:uid="{5D38A7EC-1ABF-4189-973F-903BFEFDD09B}">
          <x14:formula1>
            <xm:f>Einstellungen!$E$3:$E$6</xm:f>
          </x14:formula1>
          <xm:sqref>C7 C14</xm:sqref>
        </x14:dataValidation>
        <x14:dataValidation type="list" allowBlank="1" showInputMessage="1" showErrorMessage="1" xr:uid="{35742F14-EDD6-4FA1-A7DB-58979CEA56B4}">
          <x14:formula1>
            <xm:f>Einstellungen!$H$3:$H$23</xm:f>
          </x14:formula1>
          <xm:sqref>C8 C15</xm:sqref>
        </x14:dataValidation>
        <x14:dataValidation type="list" allowBlank="1" showInputMessage="1" showErrorMessage="1" xr:uid="{D3433A56-917D-4F83-89CC-69CB3F2D1770}">
          <x14:formula1>
            <xm:f>Einstellungen!$N$3:$N$6</xm:f>
          </x14:formula1>
          <xm:sqref>L7 L12 L17</xm:sqref>
        </x14:dataValidation>
        <x14:dataValidation type="list" allowBlank="1" showInputMessage="1" showErrorMessage="1" xr:uid="{2D0AC968-E9C6-43C9-BECF-4A062B62301E}">
          <x14:formula1>
            <xm:f>Einstellungen!$Q$3:$Q$6</xm:f>
          </x14:formula1>
          <xm:sqref>C20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B57D3-8CC0-4353-A440-EA73A1232EDB}">
  <dimension ref="A1:N20"/>
  <sheetViews>
    <sheetView zoomScale="110" zoomScaleNormal="110" workbookViewId="0">
      <selection activeCell="E26" sqref="E26"/>
    </sheetView>
  </sheetViews>
  <sheetFormatPr baseColWidth="10" defaultColWidth="11.44140625" defaultRowHeight="14.4" x14ac:dyDescent="0.3"/>
  <cols>
    <col min="1" max="1" width="1.6640625" style="3" customWidth="1"/>
    <col min="2" max="2" width="2.33203125" style="3" customWidth="1"/>
    <col min="3" max="16384" width="11.44140625" style="3"/>
  </cols>
  <sheetData>
    <row r="1" spans="1:14" ht="9" customHeight="1" x14ac:dyDescent="0.3">
      <c r="A1" s="76"/>
      <c r="B1" s="77"/>
      <c r="C1" s="77"/>
      <c r="D1" s="77"/>
      <c r="E1" s="77"/>
      <c r="F1" s="77"/>
      <c r="G1" s="77"/>
      <c r="H1" s="77"/>
      <c r="I1" s="77"/>
      <c r="J1" s="77"/>
      <c r="K1" s="77"/>
      <c r="L1" s="77"/>
      <c r="M1" s="77"/>
    </row>
    <row r="2" spans="1:14" x14ac:dyDescent="0.3">
      <c r="A2" s="76"/>
      <c r="B2" s="4"/>
      <c r="C2" s="4"/>
      <c r="D2" s="4"/>
      <c r="E2" s="4"/>
      <c r="F2" s="4"/>
      <c r="G2" s="4"/>
      <c r="H2" s="4"/>
      <c r="I2" s="4"/>
      <c r="J2" s="4"/>
      <c r="K2" s="4"/>
      <c r="L2" s="4"/>
      <c r="M2" s="4"/>
      <c r="N2" s="4"/>
    </row>
    <row r="3" spans="1:14" x14ac:dyDescent="0.3">
      <c r="A3" s="76"/>
      <c r="B3" s="4"/>
      <c r="C3" s="4" t="s">
        <v>117</v>
      </c>
      <c r="D3" s="4"/>
      <c r="E3" s="4"/>
      <c r="F3" s="4"/>
      <c r="G3" s="4"/>
      <c r="H3" s="4"/>
      <c r="I3" s="4"/>
      <c r="J3" s="4"/>
      <c r="K3" s="4"/>
      <c r="L3" s="4"/>
      <c r="M3" s="4"/>
      <c r="N3" s="4"/>
    </row>
    <row r="4" spans="1:14" x14ac:dyDescent="0.3">
      <c r="A4" s="76"/>
      <c r="B4" s="4"/>
      <c r="C4" s="4" t="s">
        <v>127</v>
      </c>
      <c r="D4" s="4"/>
      <c r="E4" s="4"/>
      <c r="F4" s="4"/>
      <c r="G4" s="4"/>
      <c r="H4" s="4"/>
      <c r="I4" s="4"/>
      <c r="J4" s="4"/>
      <c r="K4" s="4"/>
      <c r="L4" s="4"/>
      <c r="M4" s="4"/>
      <c r="N4" s="4"/>
    </row>
    <row r="5" spans="1:14" x14ac:dyDescent="0.3">
      <c r="A5" s="76"/>
      <c r="B5" s="4"/>
      <c r="C5" s="4" t="s">
        <v>118</v>
      </c>
      <c r="D5" s="4"/>
      <c r="E5" s="4"/>
      <c r="F5" s="4"/>
      <c r="G5" s="4"/>
      <c r="H5" s="4"/>
      <c r="I5" s="4"/>
      <c r="J5" s="4"/>
      <c r="K5" s="4"/>
      <c r="L5" s="4"/>
      <c r="M5" s="4"/>
      <c r="N5" s="4"/>
    </row>
    <row r="6" spans="1:14" x14ac:dyDescent="0.3">
      <c r="A6" s="76"/>
      <c r="B6" s="4"/>
      <c r="C6" s="4" t="s">
        <v>119</v>
      </c>
      <c r="D6" s="4"/>
      <c r="E6" s="4"/>
      <c r="F6" s="4"/>
      <c r="G6" s="4"/>
      <c r="H6" s="4"/>
      <c r="I6" s="4"/>
      <c r="J6" s="4"/>
      <c r="K6" s="4"/>
      <c r="L6" s="4"/>
      <c r="M6" s="4"/>
      <c r="N6" s="4"/>
    </row>
    <row r="7" spans="1:14" x14ac:dyDescent="0.3">
      <c r="A7" s="76"/>
      <c r="B7" s="4"/>
      <c r="C7" s="4" t="s">
        <v>120</v>
      </c>
      <c r="D7" s="4"/>
      <c r="E7" s="4"/>
      <c r="F7" s="4"/>
      <c r="G7" s="4"/>
      <c r="H7" s="4"/>
      <c r="I7" s="4"/>
      <c r="J7" s="4"/>
      <c r="K7" s="4"/>
      <c r="L7" s="4"/>
      <c r="M7" s="4"/>
      <c r="N7" s="4"/>
    </row>
    <row r="8" spans="1:14" x14ac:dyDescent="0.3">
      <c r="A8" s="76"/>
      <c r="B8" s="4"/>
      <c r="C8" s="4"/>
      <c r="D8" s="4"/>
      <c r="E8" s="4"/>
      <c r="F8" s="4"/>
      <c r="G8" s="4"/>
      <c r="H8" s="4"/>
      <c r="I8" s="4"/>
      <c r="J8" s="4"/>
      <c r="K8" s="4"/>
      <c r="L8" s="4"/>
      <c r="M8" s="4"/>
      <c r="N8" s="4"/>
    </row>
    <row r="9" spans="1:14" x14ac:dyDescent="0.3">
      <c r="A9" s="76"/>
      <c r="B9" s="4"/>
      <c r="C9" s="4" t="s">
        <v>121</v>
      </c>
      <c r="D9" s="4"/>
      <c r="E9" s="4"/>
      <c r="F9" s="4"/>
      <c r="G9" s="4"/>
      <c r="H9" s="4"/>
      <c r="I9" s="4"/>
      <c r="J9" s="4"/>
      <c r="K9" s="4"/>
      <c r="L9" s="4"/>
      <c r="M9" s="4"/>
      <c r="N9" s="4"/>
    </row>
    <row r="10" spans="1:14" x14ac:dyDescent="0.3">
      <c r="A10" s="76"/>
      <c r="B10" s="4"/>
      <c r="C10" s="4" t="s">
        <v>165</v>
      </c>
      <c r="D10" s="4"/>
      <c r="E10" s="4"/>
      <c r="F10" s="4"/>
      <c r="G10" s="4"/>
      <c r="H10" s="4"/>
      <c r="I10" s="4"/>
      <c r="J10" s="4"/>
      <c r="K10" s="4"/>
      <c r="L10" s="4"/>
      <c r="M10" s="4"/>
      <c r="N10" s="4"/>
    </row>
    <row r="11" spans="1:14" x14ac:dyDescent="0.3">
      <c r="A11" s="76"/>
      <c r="B11" s="4"/>
      <c r="C11" s="4" t="s">
        <v>163</v>
      </c>
      <c r="D11" s="4"/>
      <c r="E11" s="4"/>
      <c r="F11" s="4"/>
      <c r="G11" s="4"/>
      <c r="H11" s="4"/>
      <c r="I11" s="4"/>
      <c r="J11" s="4"/>
      <c r="K11" s="4"/>
      <c r="L11" s="4"/>
      <c r="M11" s="4"/>
      <c r="N11" s="4"/>
    </row>
    <row r="12" spans="1:14" x14ac:dyDescent="0.3">
      <c r="A12" s="76"/>
      <c r="B12" s="4"/>
      <c r="C12" s="4" t="s">
        <v>164</v>
      </c>
      <c r="D12" s="4"/>
      <c r="E12" s="4"/>
      <c r="F12" s="4"/>
      <c r="G12" s="4"/>
      <c r="H12" s="4"/>
      <c r="I12" s="4"/>
      <c r="J12" s="4"/>
      <c r="K12" s="4"/>
      <c r="L12" s="4"/>
      <c r="M12" s="4"/>
      <c r="N12" s="4"/>
    </row>
    <row r="13" spans="1:14" x14ac:dyDescent="0.3">
      <c r="A13" s="76"/>
      <c r="B13" s="4"/>
      <c r="C13" s="4"/>
      <c r="D13" s="4"/>
      <c r="E13" s="4"/>
      <c r="F13" s="4"/>
      <c r="G13" s="4"/>
      <c r="H13" s="4"/>
      <c r="I13" s="4"/>
      <c r="J13" s="4"/>
      <c r="K13" s="4"/>
      <c r="L13" s="4"/>
      <c r="M13" s="4"/>
      <c r="N13" s="4"/>
    </row>
    <row r="14" spans="1:14" x14ac:dyDescent="0.3">
      <c r="A14" s="76"/>
      <c r="B14" s="4"/>
      <c r="C14" s="4"/>
      <c r="D14" s="4"/>
      <c r="E14" s="4"/>
      <c r="F14" s="4"/>
      <c r="G14" s="4"/>
      <c r="H14" s="4"/>
      <c r="I14" s="4"/>
      <c r="J14" s="4"/>
      <c r="K14" s="4"/>
      <c r="L14" s="4"/>
      <c r="M14" s="4"/>
      <c r="N14" s="4"/>
    </row>
    <row r="15" spans="1:14" x14ac:dyDescent="0.3">
      <c r="A15" s="76"/>
      <c r="B15" s="4"/>
      <c r="C15" s="4"/>
      <c r="D15" s="4"/>
      <c r="E15" s="4"/>
      <c r="F15" s="4"/>
      <c r="G15" s="4"/>
      <c r="H15" s="4"/>
      <c r="I15" s="4"/>
      <c r="J15" s="4"/>
      <c r="K15" s="4"/>
      <c r="L15" s="4"/>
      <c r="M15" s="4"/>
      <c r="N15" s="4"/>
    </row>
    <row r="16" spans="1:14" x14ac:dyDescent="0.3">
      <c r="A16" s="76"/>
      <c r="B16" s="4"/>
      <c r="C16" s="4"/>
      <c r="D16" s="4"/>
      <c r="E16" s="4"/>
      <c r="F16" s="4"/>
      <c r="G16" s="4"/>
      <c r="H16" s="4"/>
      <c r="I16" s="4"/>
      <c r="J16" s="4"/>
      <c r="K16" s="4"/>
      <c r="L16" s="4"/>
      <c r="M16" s="4"/>
      <c r="N16" s="4"/>
    </row>
    <row r="17" spans="1:14" x14ac:dyDescent="0.3">
      <c r="A17" s="76"/>
      <c r="B17" s="4"/>
      <c r="C17" s="4"/>
      <c r="D17" s="4"/>
      <c r="E17" s="4"/>
      <c r="F17" s="4"/>
      <c r="G17" s="4"/>
      <c r="H17" s="4"/>
      <c r="I17" s="4"/>
      <c r="J17" s="4"/>
      <c r="K17" s="4"/>
      <c r="L17" s="4"/>
      <c r="M17" s="4"/>
      <c r="N17" s="4"/>
    </row>
    <row r="18" spans="1:14" x14ac:dyDescent="0.3">
      <c r="A18" s="76"/>
      <c r="B18" s="4"/>
      <c r="C18" s="4"/>
      <c r="D18" s="4"/>
      <c r="E18" s="4"/>
      <c r="F18" s="4"/>
      <c r="G18" s="4"/>
      <c r="H18" s="4"/>
      <c r="I18" s="4"/>
      <c r="J18" s="4"/>
      <c r="K18" s="4"/>
      <c r="L18" s="4"/>
      <c r="M18" s="4"/>
      <c r="N18" s="4"/>
    </row>
    <row r="19" spans="1:14" x14ac:dyDescent="0.3">
      <c r="A19" s="76"/>
      <c r="B19" s="4"/>
      <c r="C19" s="4"/>
      <c r="D19" s="4"/>
      <c r="E19" s="4"/>
      <c r="F19" s="4"/>
      <c r="G19" s="4"/>
      <c r="H19" s="4"/>
      <c r="I19" s="4"/>
      <c r="J19" s="4"/>
      <c r="K19" s="4"/>
      <c r="L19" s="4"/>
      <c r="M19" s="4"/>
      <c r="N19" s="4"/>
    </row>
    <row r="20" spans="1:14" x14ac:dyDescent="0.3">
      <c r="A20" s="76"/>
      <c r="B20" s="4"/>
      <c r="C20" s="4"/>
      <c r="D20" s="4"/>
      <c r="E20" s="4"/>
      <c r="F20" s="4"/>
      <c r="G20" s="4"/>
      <c r="H20" s="4"/>
      <c r="I20" s="4"/>
      <c r="J20" s="4"/>
      <c r="K20" s="4"/>
      <c r="L20" s="4"/>
      <c r="M20" s="4"/>
      <c r="N20" s="4"/>
    </row>
  </sheetData>
  <sheetProtection algorithmName="SHA-512" hashValue="5+36YeJAABsyJTLwqSfLGTG2ggu43Q3n3CHzC7dbDyEbncsLkhxYQxAhAbC1X/k8qk9BmSNIPTAHoiygrGVa7A==" saltValue="ZDaPdr1+j6GFfax0LqjCag==" spinCount="100000" sheet="1" objects="1" scenarios="1"/>
  <pageMargins left="0.7" right="0.7" top="0.78740157499999996" bottom="0.78740157499999996" header="0.3" footer="0.3"/>
  <pageSetup paperSize="9" orientation="portrait" r:id="rId1"/>
  <headerFooter>
    <oddFooter>&amp;L&amp;1#&amp;"Calibri"&amp;10&amp;K000000[internal]</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8084AF-20CE-44DF-820B-14A72753A30C}">
  <dimension ref="A1:O32"/>
  <sheetViews>
    <sheetView workbookViewId="0">
      <selection activeCell="R30" sqref="R30"/>
    </sheetView>
  </sheetViews>
  <sheetFormatPr baseColWidth="10" defaultColWidth="11.44140625" defaultRowHeight="14.4" x14ac:dyDescent="0.3"/>
  <cols>
    <col min="1" max="1" width="1.6640625" style="3" customWidth="1"/>
    <col min="2" max="14" width="11.44140625" style="3"/>
    <col min="15" max="15" width="19.109375" style="3" customWidth="1"/>
    <col min="16" max="16384" width="11.44140625" style="3"/>
  </cols>
  <sheetData>
    <row r="1" spans="1:15" x14ac:dyDescent="0.3">
      <c r="A1" s="36"/>
      <c r="B1" s="37" t="s">
        <v>139</v>
      </c>
      <c r="C1" s="36"/>
      <c r="D1" s="36"/>
      <c r="E1" s="36"/>
      <c r="F1" s="36"/>
      <c r="G1" s="36"/>
      <c r="H1" s="36"/>
      <c r="I1" s="36"/>
      <c r="J1" s="36"/>
      <c r="K1" s="36"/>
      <c r="L1" s="36"/>
      <c r="M1" s="36"/>
      <c r="N1" s="36"/>
      <c r="O1" s="36"/>
    </row>
    <row r="2" spans="1:15" ht="4.2" customHeight="1" x14ac:dyDescent="0.3"/>
    <row r="3" spans="1:15" x14ac:dyDescent="0.3">
      <c r="A3" s="19"/>
      <c r="B3" s="39" t="s">
        <v>140</v>
      </c>
      <c r="C3" s="19"/>
      <c r="D3" s="19"/>
      <c r="E3" s="19"/>
      <c r="F3" s="19"/>
      <c r="G3" s="19"/>
      <c r="H3" s="19"/>
      <c r="I3" s="19"/>
      <c r="J3" s="19"/>
      <c r="K3" s="19"/>
      <c r="L3" s="19"/>
      <c r="M3" s="19"/>
      <c r="N3" s="19"/>
      <c r="O3" s="19"/>
    </row>
    <row r="4" spans="1:15" x14ac:dyDescent="0.3">
      <c r="A4" s="43"/>
      <c r="B4" s="43" t="s">
        <v>141</v>
      </c>
      <c r="C4" s="43"/>
      <c r="D4" s="43"/>
      <c r="E4" s="43"/>
      <c r="F4" s="43"/>
      <c r="G4" s="43"/>
      <c r="H4" s="43"/>
      <c r="I4" s="43"/>
      <c r="J4" s="43"/>
      <c r="K4" s="43"/>
      <c r="L4" s="43"/>
      <c r="M4" s="43"/>
      <c r="N4" s="43"/>
      <c r="O4" s="43"/>
    </row>
    <row r="5" spans="1:15" x14ac:dyDescent="0.3">
      <c r="A5" s="43"/>
      <c r="B5" s="43" t="s">
        <v>143</v>
      </c>
      <c r="C5" s="43"/>
      <c r="D5" s="43"/>
      <c r="E5" s="43"/>
      <c r="F5" s="43"/>
      <c r="G5" s="43"/>
      <c r="H5" s="43"/>
      <c r="I5" s="43"/>
      <c r="J5" s="43"/>
      <c r="K5" s="43"/>
      <c r="L5" s="43"/>
      <c r="M5" s="43"/>
      <c r="N5" s="43"/>
      <c r="O5" s="43"/>
    </row>
    <row r="6" spans="1:15" x14ac:dyDescent="0.3">
      <c r="A6" s="43"/>
      <c r="B6" s="78" t="s">
        <v>144</v>
      </c>
      <c r="C6" s="43"/>
      <c r="D6" s="43"/>
      <c r="E6" s="43"/>
      <c r="F6" s="43"/>
      <c r="G6" s="43"/>
      <c r="H6" s="43"/>
      <c r="I6" s="43"/>
      <c r="J6" s="43"/>
      <c r="K6" s="43"/>
      <c r="L6" s="43"/>
      <c r="M6" s="43"/>
      <c r="N6" s="43"/>
      <c r="O6" s="43"/>
    </row>
    <row r="7" spans="1:15" ht="4.2" customHeight="1" x14ac:dyDescent="0.3">
      <c r="B7" s="79"/>
    </row>
    <row r="8" spans="1:15" x14ac:dyDescent="0.3">
      <c r="A8" s="39"/>
      <c r="B8" s="39" t="s">
        <v>142</v>
      </c>
      <c r="C8" s="80"/>
      <c r="D8" s="39"/>
      <c r="E8" s="39"/>
      <c r="F8" s="39"/>
      <c r="G8" s="39"/>
      <c r="H8" s="39"/>
      <c r="I8" s="39"/>
      <c r="J8" s="39"/>
      <c r="K8" s="39"/>
      <c r="L8" s="39"/>
      <c r="M8" s="39"/>
      <c r="N8" s="39"/>
      <c r="O8" s="39"/>
    </row>
    <row r="9" spans="1:15" x14ac:dyDescent="0.3">
      <c r="A9" s="43"/>
      <c r="B9" s="43" t="s">
        <v>145</v>
      </c>
      <c r="C9" s="78"/>
      <c r="D9" s="43"/>
      <c r="E9" s="43"/>
      <c r="F9" s="43"/>
      <c r="G9" s="43"/>
      <c r="H9" s="43"/>
      <c r="I9" s="43"/>
      <c r="J9" s="43"/>
      <c r="K9" s="43"/>
      <c r="L9" s="43"/>
      <c r="M9" s="43"/>
      <c r="N9" s="43"/>
      <c r="O9" s="43"/>
    </row>
    <row r="10" spans="1:15" x14ac:dyDescent="0.3">
      <c r="A10" s="43"/>
      <c r="B10" s="43" t="s">
        <v>146</v>
      </c>
      <c r="C10" s="43"/>
      <c r="D10" s="43"/>
      <c r="E10" s="43"/>
      <c r="F10" s="43"/>
      <c r="G10" s="43"/>
      <c r="H10" s="43"/>
      <c r="I10" s="43"/>
      <c r="J10" s="43"/>
      <c r="K10" s="43"/>
      <c r="L10" s="43"/>
      <c r="M10" s="43"/>
      <c r="N10" s="43"/>
      <c r="O10" s="43"/>
    </row>
    <row r="11" spans="1:15" x14ac:dyDescent="0.3">
      <c r="A11" s="43"/>
      <c r="B11" s="43" t="s">
        <v>147</v>
      </c>
      <c r="C11" s="78"/>
      <c r="D11" s="43"/>
      <c r="E11" s="43"/>
      <c r="F11" s="43"/>
      <c r="G11" s="43"/>
      <c r="H11" s="43"/>
      <c r="I11" s="43"/>
      <c r="J11" s="43"/>
      <c r="K11" s="43"/>
      <c r="L11" s="43"/>
      <c r="M11" s="43"/>
      <c r="N11" s="43"/>
      <c r="O11" s="43"/>
    </row>
    <row r="12" spans="1:15" x14ac:dyDescent="0.3">
      <c r="A12" s="43"/>
      <c r="B12" s="43" t="s">
        <v>148</v>
      </c>
      <c r="C12" s="78"/>
      <c r="D12" s="43"/>
      <c r="E12" s="43"/>
      <c r="F12" s="43"/>
      <c r="G12" s="43"/>
      <c r="H12" s="43"/>
      <c r="I12" s="43"/>
      <c r="J12" s="43"/>
      <c r="K12" s="43"/>
      <c r="L12" s="43"/>
      <c r="M12" s="43"/>
      <c r="N12" s="43"/>
      <c r="O12" s="43"/>
    </row>
    <row r="13" spans="1:15" x14ac:dyDescent="0.3">
      <c r="A13" s="43"/>
      <c r="B13" s="43" t="s">
        <v>149</v>
      </c>
      <c r="C13" s="43"/>
      <c r="D13" s="43"/>
      <c r="E13" s="43"/>
      <c r="F13" s="43"/>
      <c r="G13" s="43"/>
      <c r="H13" s="43"/>
      <c r="I13" s="43"/>
      <c r="J13" s="43"/>
      <c r="K13" s="43"/>
      <c r="L13" s="43"/>
      <c r="M13" s="43"/>
      <c r="N13" s="43"/>
      <c r="O13" s="43"/>
    </row>
    <row r="14" spans="1:15" x14ac:dyDescent="0.3">
      <c r="A14" s="43"/>
      <c r="B14" s="43" t="s">
        <v>150</v>
      </c>
      <c r="C14" s="78"/>
      <c r="D14" s="43"/>
      <c r="E14" s="43"/>
      <c r="F14" s="43"/>
      <c r="G14" s="43"/>
      <c r="H14" s="43"/>
      <c r="I14" s="43"/>
      <c r="J14" s="43"/>
      <c r="K14" s="43"/>
      <c r="L14" s="43"/>
      <c r="M14" s="43"/>
      <c r="N14" s="43"/>
      <c r="O14" s="43"/>
    </row>
    <row r="15" spans="1:15" ht="4.2" customHeight="1" x14ac:dyDescent="0.3">
      <c r="C15" s="81"/>
    </row>
    <row r="16" spans="1:15" x14ac:dyDescent="0.3">
      <c r="A16" s="19"/>
      <c r="B16" s="39" t="s">
        <v>154</v>
      </c>
      <c r="C16" s="19"/>
      <c r="D16" s="19"/>
      <c r="E16" s="19"/>
      <c r="F16" s="19"/>
      <c r="G16" s="19"/>
      <c r="H16" s="19"/>
      <c r="I16" s="19"/>
      <c r="J16" s="19"/>
      <c r="K16" s="19"/>
      <c r="L16" s="19"/>
      <c r="M16" s="19"/>
      <c r="N16" s="19"/>
      <c r="O16" s="19"/>
    </row>
    <row r="17" spans="1:15" x14ac:dyDescent="0.3">
      <c r="A17" s="43"/>
      <c r="B17" s="43" t="s">
        <v>151</v>
      </c>
      <c r="C17" s="78"/>
      <c r="D17" s="43"/>
      <c r="E17" s="43"/>
      <c r="F17" s="43"/>
      <c r="G17" s="43"/>
      <c r="H17" s="43"/>
      <c r="I17" s="43"/>
      <c r="J17" s="43"/>
      <c r="K17" s="43"/>
      <c r="L17" s="43"/>
      <c r="M17" s="43"/>
      <c r="N17" s="43"/>
      <c r="O17" s="43"/>
    </row>
    <row r="18" spans="1:15" x14ac:dyDescent="0.3">
      <c r="A18" s="43"/>
      <c r="B18" s="43" t="s">
        <v>152</v>
      </c>
      <c r="C18" s="78"/>
      <c r="D18" s="43"/>
      <c r="E18" s="43"/>
      <c r="F18" s="43"/>
      <c r="G18" s="43"/>
      <c r="H18" s="43"/>
      <c r="I18" s="43"/>
      <c r="J18" s="43"/>
      <c r="K18" s="43"/>
      <c r="L18" s="43"/>
      <c r="M18" s="43"/>
      <c r="N18" s="43"/>
      <c r="O18" s="43"/>
    </row>
    <row r="19" spans="1:15" x14ac:dyDescent="0.3">
      <c r="A19" s="43"/>
      <c r="B19" s="43" t="s">
        <v>153</v>
      </c>
      <c r="C19" s="43"/>
      <c r="D19" s="43"/>
      <c r="E19" s="43"/>
      <c r="F19" s="43"/>
      <c r="G19" s="43"/>
      <c r="H19" s="43"/>
      <c r="I19" s="43"/>
      <c r="J19" s="43"/>
      <c r="K19" s="43"/>
      <c r="L19" s="43"/>
      <c r="M19" s="43"/>
      <c r="N19" s="43"/>
      <c r="O19" s="43"/>
    </row>
    <row r="20" spans="1:15" ht="4.95" customHeight="1" x14ac:dyDescent="0.3"/>
    <row r="21" spans="1:15" x14ac:dyDescent="0.3">
      <c r="A21" s="19"/>
      <c r="B21" s="39" t="s">
        <v>155</v>
      </c>
      <c r="C21" s="19"/>
      <c r="D21" s="19"/>
      <c r="E21" s="19"/>
      <c r="F21" s="19"/>
      <c r="G21" s="19"/>
      <c r="H21" s="19"/>
      <c r="I21" s="19"/>
      <c r="J21" s="19"/>
      <c r="K21" s="19"/>
      <c r="L21" s="19"/>
      <c r="M21" s="19"/>
      <c r="N21" s="19"/>
      <c r="O21" s="19"/>
    </row>
    <row r="22" spans="1:15" x14ac:dyDescent="0.3">
      <c r="A22" s="43"/>
      <c r="B22" s="43" t="s">
        <v>156</v>
      </c>
      <c r="C22" s="43"/>
      <c r="D22" s="43"/>
      <c r="E22" s="43"/>
      <c r="F22" s="43"/>
      <c r="G22" s="43"/>
      <c r="H22" s="43"/>
      <c r="I22" s="43"/>
      <c r="J22" s="43"/>
      <c r="K22" s="43"/>
      <c r="L22" s="43"/>
      <c r="M22" s="43"/>
      <c r="N22" s="43"/>
      <c r="O22" s="43"/>
    </row>
    <row r="23" spans="1:15" x14ac:dyDescent="0.3">
      <c r="A23" s="43"/>
      <c r="B23" s="43" t="s">
        <v>157</v>
      </c>
      <c r="C23" s="43"/>
      <c r="D23" s="43"/>
      <c r="E23" s="43"/>
      <c r="F23" s="43"/>
      <c r="G23" s="43"/>
      <c r="H23" s="43"/>
      <c r="I23" s="43"/>
      <c r="J23" s="43"/>
      <c r="K23" s="43"/>
      <c r="L23" s="43"/>
      <c r="M23" s="43"/>
      <c r="N23" s="43"/>
      <c r="O23" s="43"/>
    </row>
    <row r="24" spans="1:15" ht="4.5" customHeight="1" x14ac:dyDescent="0.3"/>
    <row r="25" spans="1:15" x14ac:dyDescent="0.3">
      <c r="A25" s="19"/>
      <c r="B25" s="39" t="s">
        <v>158</v>
      </c>
      <c r="C25" s="19"/>
      <c r="D25" s="19"/>
      <c r="E25" s="19"/>
      <c r="F25" s="19"/>
      <c r="G25" s="19"/>
      <c r="H25" s="19"/>
      <c r="I25" s="19"/>
      <c r="J25" s="19"/>
      <c r="K25" s="19"/>
      <c r="L25" s="19"/>
      <c r="M25" s="19"/>
      <c r="N25" s="19"/>
      <c r="O25" s="19"/>
    </row>
    <row r="26" spans="1:15" x14ac:dyDescent="0.3">
      <c r="A26" s="43"/>
      <c r="B26" s="78" t="s">
        <v>159</v>
      </c>
      <c r="C26" s="43"/>
      <c r="D26" s="43"/>
      <c r="E26" s="43"/>
      <c r="F26" s="43"/>
      <c r="G26" s="43"/>
      <c r="H26" s="43"/>
      <c r="I26" s="43"/>
      <c r="J26" s="43"/>
      <c r="K26" s="43"/>
      <c r="L26" s="43"/>
      <c r="M26" s="43"/>
      <c r="N26" s="43"/>
      <c r="O26" s="43"/>
    </row>
    <row r="27" spans="1:15" x14ac:dyDescent="0.3">
      <c r="A27" s="43"/>
      <c r="B27" s="43" t="s">
        <v>160</v>
      </c>
      <c r="C27" s="43"/>
      <c r="D27" s="43"/>
      <c r="E27" s="43"/>
      <c r="F27" s="43"/>
      <c r="G27" s="43"/>
      <c r="H27" s="43"/>
      <c r="I27" s="43"/>
      <c r="J27" s="43"/>
      <c r="K27" s="43"/>
      <c r="L27" s="43"/>
      <c r="M27" s="43"/>
      <c r="N27" s="43"/>
      <c r="O27" s="43"/>
    </row>
    <row r="28" spans="1:15" x14ac:dyDescent="0.3">
      <c r="A28" s="43"/>
      <c r="B28" s="43" t="s">
        <v>161</v>
      </c>
      <c r="C28" s="43"/>
      <c r="D28" s="43"/>
      <c r="E28" s="43"/>
      <c r="F28" s="43"/>
      <c r="G28" s="43"/>
      <c r="H28" s="43"/>
      <c r="I28" s="43"/>
      <c r="J28" s="43"/>
      <c r="K28" s="43"/>
      <c r="L28" s="43"/>
      <c r="M28" s="43"/>
      <c r="N28" s="43"/>
      <c r="O28" s="43"/>
    </row>
    <row r="32" spans="1:15" x14ac:dyDescent="0.3">
      <c r="B32" s="82"/>
    </row>
  </sheetData>
  <sheetProtection algorithmName="SHA-512" hashValue="S1JfKmMBeszrOBiULxWwcStc8kq4NnRFqI8k9S9akyAkijVBSo5xgOWhESGwShAWdhAWuVUzvqxj3MNhDh8foQ==" saltValue="V6ZVkAY5XiFO7mnh3mVzhg==" spinCount="100000" sheet="1" objects="1" scenarios="1"/>
  <pageMargins left="0.7" right="0.7" top="0.78740157499999996" bottom="0.78740157499999996" header="0.3" footer="0.3"/>
  <pageSetup paperSize="9" orientation="portrait" r:id="rId1"/>
  <headerFooter>
    <oddFooter>&amp;L&amp;1#&amp;"Calibri"&amp;10&amp;K000000[internal]</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793A0-8471-449D-A6C5-078EE664ACF1}">
  <dimension ref="A1:O10"/>
  <sheetViews>
    <sheetView zoomScale="110" zoomScaleNormal="110" workbookViewId="0">
      <selection activeCell="G28" sqref="G28"/>
    </sheetView>
  </sheetViews>
  <sheetFormatPr baseColWidth="10" defaultColWidth="11.44140625" defaultRowHeight="14.4" x14ac:dyDescent="0.3"/>
  <cols>
    <col min="1" max="1" width="2.6640625" style="3" customWidth="1"/>
    <col min="2" max="16384" width="11.44140625" style="3"/>
  </cols>
  <sheetData>
    <row r="1" spans="1:15" ht="3" customHeight="1" x14ac:dyDescent="0.3"/>
    <row r="2" spans="1:15" x14ac:dyDescent="0.3">
      <c r="A2" s="2"/>
      <c r="B2" s="37" t="s">
        <v>162</v>
      </c>
      <c r="C2" s="2"/>
      <c r="D2" s="2"/>
      <c r="E2" s="2"/>
      <c r="F2" s="2"/>
      <c r="G2" s="2"/>
      <c r="H2" s="2"/>
      <c r="I2" s="2"/>
      <c r="J2" s="2"/>
      <c r="K2" s="2"/>
      <c r="L2" s="2"/>
      <c r="M2" s="2"/>
      <c r="N2" s="2"/>
      <c r="O2" s="83"/>
    </row>
    <row r="3" spans="1:15" x14ac:dyDescent="0.3">
      <c r="A3" s="84"/>
      <c r="B3" s="85"/>
      <c r="C3" s="84"/>
      <c r="D3" s="84"/>
      <c r="E3" s="84"/>
      <c r="F3" s="84"/>
      <c r="G3" s="84"/>
      <c r="H3" s="84"/>
      <c r="I3" s="84"/>
      <c r="J3" s="84"/>
      <c r="K3" s="84"/>
      <c r="L3" s="84"/>
      <c r="M3" s="84"/>
      <c r="N3" s="84"/>
      <c r="O3" s="83"/>
    </row>
    <row r="4" spans="1:15" x14ac:dyDescent="0.3">
      <c r="A4" s="43" t="s">
        <v>128</v>
      </c>
      <c r="B4" s="43" t="s">
        <v>130</v>
      </c>
      <c r="C4" s="43"/>
      <c r="D4" s="43"/>
      <c r="E4" s="43"/>
      <c r="F4" s="43"/>
      <c r="G4" s="43"/>
      <c r="H4" s="43"/>
      <c r="I4" s="43"/>
      <c r="J4" s="43"/>
      <c r="K4" s="43"/>
      <c r="L4" s="43"/>
      <c r="M4" s="43"/>
      <c r="N4" s="43"/>
      <c r="O4" s="38"/>
    </row>
    <row r="5" spans="1:15" x14ac:dyDescent="0.3">
      <c r="A5" s="43" t="s">
        <v>129</v>
      </c>
      <c r="B5" s="43" t="s">
        <v>138</v>
      </c>
      <c r="C5" s="43"/>
      <c r="D5" s="43"/>
      <c r="E5" s="43"/>
      <c r="F5" s="43"/>
      <c r="G5" s="43"/>
      <c r="H5" s="43"/>
      <c r="I5" s="43"/>
      <c r="J5" s="43"/>
      <c r="K5" s="43"/>
      <c r="L5" s="43"/>
      <c r="M5" s="43"/>
      <c r="N5" s="43"/>
      <c r="O5" s="38"/>
    </row>
    <row r="6" spans="1:15" x14ac:dyDescent="0.3">
      <c r="A6" s="43" t="s">
        <v>131</v>
      </c>
      <c r="B6" s="43" t="s">
        <v>136</v>
      </c>
      <c r="C6" s="43"/>
      <c r="D6" s="43"/>
      <c r="E6" s="43"/>
      <c r="F6" s="43"/>
      <c r="G6" s="43"/>
      <c r="H6" s="43"/>
      <c r="I6" s="43"/>
      <c r="J6" s="43"/>
      <c r="K6" s="43"/>
      <c r="L6" s="43"/>
      <c r="M6" s="43"/>
      <c r="N6" s="43"/>
      <c r="O6" s="38"/>
    </row>
    <row r="7" spans="1:15" x14ac:dyDescent="0.3">
      <c r="A7" s="43"/>
      <c r="B7" s="43" t="s">
        <v>137</v>
      </c>
      <c r="C7" s="43"/>
      <c r="D7" s="43"/>
      <c r="E7" s="43"/>
      <c r="F7" s="43"/>
      <c r="G7" s="43"/>
      <c r="H7" s="43"/>
      <c r="I7" s="43"/>
      <c r="J7" s="43"/>
      <c r="K7" s="43"/>
      <c r="L7" s="43"/>
      <c r="M7" s="43"/>
      <c r="N7" s="43"/>
      <c r="O7" s="38"/>
    </row>
    <row r="8" spans="1:15" x14ac:dyDescent="0.3">
      <c r="A8" s="43" t="s">
        <v>132</v>
      </c>
      <c r="B8" s="43" t="s">
        <v>133</v>
      </c>
      <c r="C8" s="43"/>
      <c r="D8" s="43"/>
      <c r="E8" s="43"/>
      <c r="F8" s="43"/>
      <c r="G8" s="43"/>
      <c r="H8" s="43"/>
      <c r="I8" s="43"/>
      <c r="J8" s="43"/>
      <c r="K8" s="43"/>
      <c r="L8" s="43"/>
      <c r="M8" s="43"/>
      <c r="N8" s="43"/>
      <c r="O8" s="38"/>
    </row>
    <row r="9" spans="1:15" x14ac:dyDescent="0.3">
      <c r="A9" s="43" t="s">
        <v>134</v>
      </c>
      <c r="B9" s="43" t="s">
        <v>135</v>
      </c>
      <c r="C9" s="43"/>
      <c r="D9" s="43"/>
      <c r="E9" s="43"/>
      <c r="F9" s="43"/>
      <c r="G9" s="43"/>
      <c r="H9" s="43"/>
      <c r="I9" s="43"/>
      <c r="J9" s="43"/>
      <c r="K9" s="43"/>
      <c r="L9" s="43"/>
      <c r="M9" s="43"/>
      <c r="N9" s="43"/>
      <c r="O9" s="38"/>
    </row>
    <row r="10" spans="1:15" x14ac:dyDescent="0.3">
      <c r="A10" s="43"/>
      <c r="B10" s="43"/>
      <c r="C10" s="43"/>
      <c r="D10" s="43"/>
      <c r="E10" s="43"/>
      <c r="F10" s="43"/>
      <c r="G10" s="43"/>
      <c r="H10" s="43"/>
      <c r="I10" s="43"/>
      <c r="J10" s="43"/>
      <c r="K10" s="43"/>
      <c r="L10" s="43"/>
      <c r="M10" s="43"/>
      <c r="N10" s="43"/>
      <c r="O10" s="38"/>
    </row>
  </sheetData>
  <sheetProtection algorithmName="SHA-512" hashValue="rovfejtWSJ9sF/TP7C3j4a7D/WGMPUM9JQE9JehFmowkesqLthPXAym26B3FfMyC4Az7L9GYSmqjksMVWPG9TA==" saltValue="shmJioVIfwb6m/Dko31/7g==" spinCount="100000" sheet="1" objects="1" scenarios="1"/>
  <pageMargins left="0.7" right="0.7" top="0.78740157499999996" bottom="0.78740157499999996" header="0.3" footer="0.3"/>
  <pageSetup paperSize="9" orientation="portrait" r:id="rId1"/>
  <headerFooter>
    <oddFooter>&amp;L&amp;1#&amp;"Calibri"&amp;10&amp;K000000[internal]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E7D3E-9499-4CA8-B92A-E0A6A98701E6}">
  <dimension ref="B2:R27"/>
  <sheetViews>
    <sheetView zoomScale="90" zoomScaleNormal="90" workbookViewId="0">
      <selection activeCell="H31" sqref="H31"/>
    </sheetView>
  </sheetViews>
  <sheetFormatPr baseColWidth="10" defaultColWidth="11.44140625" defaultRowHeight="14.4" x14ac:dyDescent="0.3"/>
  <cols>
    <col min="1" max="1" width="1.6640625" style="3" customWidth="1"/>
    <col min="2" max="2" width="17.33203125" style="3" customWidth="1"/>
    <col min="3" max="3" width="11.44140625" style="3"/>
    <col min="4" max="4" width="1.6640625" style="3" customWidth="1"/>
    <col min="5" max="5" width="15.5546875" style="3" customWidth="1"/>
    <col min="6" max="6" width="13.109375" style="3" customWidth="1"/>
    <col min="7" max="7" width="1.5546875" style="3" customWidth="1"/>
    <col min="8" max="8" width="23.33203125" style="3" customWidth="1"/>
    <col min="9" max="9" width="12.6640625" style="3" customWidth="1"/>
    <col min="10" max="10" width="11.44140625" style="3"/>
    <col min="11" max="11" width="12" style="3" customWidth="1"/>
    <col min="12" max="12" width="11.33203125" style="3" customWidth="1"/>
    <col min="13" max="13" width="1.44140625" style="3" customWidth="1"/>
    <col min="14" max="14" width="16.6640625" style="3" customWidth="1"/>
    <col min="15" max="15" width="11.44140625" style="3"/>
    <col min="16" max="16" width="1.33203125" style="3" customWidth="1"/>
    <col min="17" max="17" width="18.6640625" style="3" customWidth="1"/>
    <col min="18" max="18" width="13.33203125" style="3" customWidth="1"/>
    <col min="19" max="16384" width="11.44140625" style="3"/>
  </cols>
  <sheetData>
    <row r="2" spans="2:18" x14ac:dyDescent="0.3">
      <c r="B2" s="37" t="s">
        <v>22</v>
      </c>
      <c r="C2" s="2" t="s">
        <v>24</v>
      </c>
      <c r="E2" s="37" t="s">
        <v>35</v>
      </c>
      <c r="F2" s="2" t="s">
        <v>37</v>
      </c>
      <c r="H2" s="37" t="s">
        <v>40</v>
      </c>
      <c r="I2" s="2" t="s">
        <v>41</v>
      </c>
      <c r="J2" s="2" t="s">
        <v>42</v>
      </c>
      <c r="K2" s="2" t="s">
        <v>81</v>
      </c>
      <c r="L2" s="2" t="s">
        <v>82</v>
      </c>
      <c r="N2" s="37" t="s">
        <v>43</v>
      </c>
      <c r="O2" s="2" t="s">
        <v>49</v>
      </c>
      <c r="Q2" s="37" t="s">
        <v>19</v>
      </c>
      <c r="R2" s="2" t="s">
        <v>46</v>
      </c>
    </row>
    <row r="3" spans="2:18" x14ac:dyDescent="0.3">
      <c r="B3" s="43" t="s">
        <v>23</v>
      </c>
      <c r="C3" s="44">
        <v>10</v>
      </c>
      <c r="E3" s="43" t="s">
        <v>36</v>
      </c>
      <c r="F3" s="44">
        <v>8</v>
      </c>
      <c r="H3" s="43" t="s">
        <v>54</v>
      </c>
      <c r="I3" s="44">
        <v>0</v>
      </c>
      <c r="J3" s="44">
        <v>100</v>
      </c>
      <c r="K3" s="44">
        <f t="shared" ref="K3" si="0">J3+((1-I3)*(1-J3))</f>
        <v>1</v>
      </c>
      <c r="L3" s="44">
        <f>J3+((1-I3)*(1-J3))</f>
        <v>1</v>
      </c>
      <c r="N3" s="43" t="s">
        <v>54</v>
      </c>
      <c r="O3" s="44">
        <v>0</v>
      </c>
      <c r="Q3" s="43" t="s">
        <v>44</v>
      </c>
      <c r="R3" s="44">
        <v>100</v>
      </c>
    </row>
    <row r="4" spans="2:18" x14ac:dyDescent="0.3">
      <c r="B4" s="43" t="s">
        <v>25</v>
      </c>
      <c r="C4" s="44">
        <v>28</v>
      </c>
      <c r="E4" s="43" t="s">
        <v>104</v>
      </c>
      <c r="F4" s="44">
        <v>20</v>
      </c>
      <c r="H4" s="43" t="s">
        <v>62</v>
      </c>
      <c r="I4" s="44">
        <v>0.8</v>
      </c>
      <c r="J4" s="44">
        <v>0.26400000000000001</v>
      </c>
      <c r="K4" s="44">
        <f>J4+((1-I4)*(1-J4))</f>
        <v>0.41120000000000001</v>
      </c>
      <c r="L4" s="44">
        <f t="shared" ref="L4:L23" si="1">J4+((1-I4)*(1-J4))</f>
        <v>0.41120000000000001</v>
      </c>
      <c r="N4" s="43" t="s">
        <v>48</v>
      </c>
      <c r="O4" s="44">
        <v>1.5</v>
      </c>
      <c r="Q4" s="43" t="s">
        <v>45</v>
      </c>
      <c r="R4" s="44">
        <v>59</v>
      </c>
    </row>
    <row r="5" spans="2:18" x14ac:dyDescent="0.3">
      <c r="B5" s="43" t="s">
        <v>26</v>
      </c>
      <c r="C5" s="44">
        <v>46</v>
      </c>
      <c r="E5" s="43" t="s">
        <v>38</v>
      </c>
      <c r="F5" s="44">
        <v>40</v>
      </c>
      <c r="H5" s="43" t="s">
        <v>63</v>
      </c>
      <c r="I5" s="44">
        <v>0.8</v>
      </c>
      <c r="J5" s="44">
        <v>0.26400000000000001</v>
      </c>
      <c r="K5" s="44">
        <v>1</v>
      </c>
      <c r="L5" s="44">
        <f t="shared" si="1"/>
        <v>0.41120000000000001</v>
      </c>
      <c r="N5" s="43" t="s">
        <v>124</v>
      </c>
      <c r="O5" s="44">
        <v>15</v>
      </c>
      <c r="Q5" s="43" t="s">
        <v>60</v>
      </c>
      <c r="R5" s="44">
        <v>66</v>
      </c>
    </row>
    <row r="6" spans="2:18" x14ac:dyDescent="0.3">
      <c r="B6" s="43" t="s">
        <v>27</v>
      </c>
      <c r="C6" s="44">
        <v>64</v>
      </c>
      <c r="E6" s="43" t="s">
        <v>39</v>
      </c>
      <c r="F6" s="44">
        <v>60</v>
      </c>
      <c r="H6" s="43" t="s">
        <v>64</v>
      </c>
      <c r="I6" s="44">
        <v>0.94</v>
      </c>
      <c r="J6" s="44">
        <v>9.6000000000000002E-2</v>
      </c>
      <c r="K6" s="44">
        <f t="shared" ref="K6:K19" si="2">J6+((1-I6)*(1-J6))</f>
        <v>0.15024000000000004</v>
      </c>
      <c r="L6" s="44">
        <f t="shared" si="1"/>
        <v>0.15024000000000004</v>
      </c>
      <c r="N6" s="43" t="s">
        <v>50</v>
      </c>
      <c r="O6" s="44">
        <v>40</v>
      </c>
      <c r="Q6" s="43" t="s">
        <v>168</v>
      </c>
      <c r="R6" s="46">
        <v>42</v>
      </c>
    </row>
    <row r="7" spans="2:18" x14ac:dyDescent="0.3">
      <c r="B7" s="43" t="s">
        <v>28</v>
      </c>
      <c r="C7" s="44">
        <v>82</v>
      </c>
      <c r="E7" s="43"/>
      <c r="F7" s="43"/>
      <c r="H7" s="43" t="s">
        <v>65</v>
      </c>
      <c r="I7" s="44">
        <v>0.94</v>
      </c>
      <c r="J7" s="44">
        <v>9.6000000000000002E-2</v>
      </c>
      <c r="K7" s="44">
        <v>1</v>
      </c>
      <c r="L7" s="44">
        <f t="shared" si="1"/>
        <v>0.15024000000000004</v>
      </c>
      <c r="N7" s="43"/>
      <c r="O7" s="43"/>
      <c r="Q7" s="43"/>
      <c r="R7" s="43"/>
    </row>
    <row r="8" spans="2:18" x14ac:dyDescent="0.3">
      <c r="B8" s="43" t="s">
        <v>29</v>
      </c>
      <c r="C8" s="44">
        <v>100</v>
      </c>
      <c r="E8" s="43"/>
      <c r="F8" s="43"/>
      <c r="H8" s="43" t="s">
        <v>83</v>
      </c>
      <c r="I8" s="44">
        <v>0.99</v>
      </c>
      <c r="J8" s="44">
        <v>2.4E-2</v>
      </c>
      <c r="K8" s="44">
        <f t="shared" si="2"/>
        <v>3.3760000000000012E-2</v>
      </c>
      <c r="L8" s="44">
        <f t="shared" si="1"/>
        <v>3.3760000000000012E-2</v>
      </c>
      <c r="N8" s="43"/>
      <c r="O8" s="43"/>
      <c r="Q8" s="43" t="s">
        <v>47</v>
      </c>
      <c r="R8" s="44">
        <v>0.62</v>
      </c>
    </row>
    <row r="9" spans="2:18" x14ac:dyDescent="0.3">
      <c r="B9" s="43" t="s">
        <v>30</v>
      </c>
      <c r="C9" s="44">
        <v>112</v>
      </c>
      <c r="E9" s="43"/>
      <c r="F9" s="43"/>
      <c r="H9" s="43" t="s">
        <v>66</v>
      </c>
      <c r="I9" s="44">
        <v>0.99</v>
      </c>
      <c r="J9" s="44">
        <v>2.4E-2</v>
      </c>
      <c r="K9" s="44">
        <v>1</v>
      </c>
      <c r="L9" s="44">
        <f t="shared" si="1"/>
        <v>3.3760000000000012E-2</v>
      </c>
      <c r="N9" s="43"/>
      <c r="O9" s="43"/>
      <c r="Q9" s="43" t="s">
        <v>88</v>
      </c>
      <c r="R9" s="44">
        <v>0.3</v>
      </c>
    </row>
    <row r="10" spans="2:18" x14ac:dyDescent="0.3">
      <c r="B10" s="43" t="s">
        <v>31</v>
      </c>
      <c r="C10" s="44">
        <v>184</v>
      </c>
      <c r="E10" s="43"/>
      <c r="F10" s="43"/>
      <c r="H10" s="43" t="s">
        <v>67</v>
      </c>
      <c r="I10" s="44">
        <v>0.84</v>
      </c>
      <c r="J10" s="44">
        <v>0.52</v>
      </c>
      <c r="K10" s="44">
        <f t="shared" si="2"/>
        <v>0.5968</v>
      </c>
      <c r="L10" s="44">
        <f t="shared" si="1"/>
        <v>0.5968</v>
      </c>
      <c r="N10" s="43"/>
      <c r="O10" s="43"/>
      <c r="Q10" s="43"/>
      <c r="R10" s="43"/>
    </row>
    <row r="11" spans="2:18" x14ac:dyDescent="0.3">
      <c r="B11" s="43" t="s">
        <v>32</v>
      </c>
      <c r="C11" s="44">
        <v>256</v>
      </c>
      <c r="E11" s="43"/>
      <c r="F11" s="43"/>
      <c r="H11" s="43" t="s">
        <v>68</v>
      </c>
      <c r="I11" s="44">
        <v>0.3</v>
      </c>
      <c r="J11" s="44">
        <v>0.65</v>
      </c>
      <c r="K11" s="44">
        <f t="shared" si="2"/>
        <v>0.89500000000000002</v>
      </c>
      <c r="L11" s="44">
        <f t="shared" si="1"/>
        <v>0.89500000000000002</v>
      </c>
      <c r="N11" s="43"/>
      <c r="O11" s="43"/>
      <c r="Q11" s="43"/>
      <c r="R11" s="43"/>
    </row>
    <row r="12" spans="2:18" x14ac:dyDescent="0.3">
      <c r="B12" s="43" t="s">
        <v>33</v>
      </c>
      <c r="C12" s="44">
        <v>328</v>
      </c>
      <c r="E12" s="43"/>
      <c r="F12" s="43"/>
      <c r="H12" s="43" t="s">
        <v>69</v>
      </c>
      <c r="I12" s="44">
        <v>0</v>
      </c>
      <c r="J12" s="44">
        <v>1</v>
      </c>
      <c r="K12" s="44">
        <f t="shared" si="2"/>
        <v>1</v>
      </c>
      <c r="L12" s="44">
        <f t="shared" si="1"/>
        <v>1</v>
      </c>
      <c r="N12" s="43"/>
      <c r="O12" s="43"/>
      <c r="Q12" s="43"/>
      <c r="R12" s="43"/>
    </row>
    <row r="13" spans="2:18" x14ac:dyDescent="0.3">
      <c r="B13" s="43" t="s">
        <v>34</v>
      </c>
      <c r="C13" s="44">
        <v>400</v>
      </c>
      <c r="E13" s="43"/>
      <c r="F13" s="43"/>
      <c r="H13" s="43" t="s">
        <v>70</v>
      </c>
      <c r="I13" s="44">
        <v>0</v>
      </c>
      <c r="J13" s="44">
        <v>1</v>
      </c>
      <c r="K13" s="44">
        <f t="shared" si="2"/>
        <v>1</v>
      </c>
      <c r="L13" s="44">
        <f t="shared" si="1"/>
        <v>1</v>
      </c>
      <c r="N13" s="43"/>
      <c r="O13" s="43"/>
      <c r="Q13" s="43"/>
      <c r="R13" s="43"/>
    </row>
    <row r="14" spans="2:18" x14ac:dyDescent="0.3">
      <c r="B14" s="43"/>
      <c r="C14" s="43"/>
      <c r="E14" s="43"/>
      <c r="F14" s="43"/>
      <c r="H14" s="43" t="s">
        <v>71</v>
      </c>
      <c r="I14" s="44">
        <v>0.8</v>
      </c>
      <c r="J14" s="44">
        <v>0.02</v>
      </c>
      <c r="K14" s="44">
        <f t="shared" si="2"/>
        <v>0.21599999999999994</v>
      </c>
      <c r="L14" s="44">
        <f t="shared" si="1"/>
        <v>0.21599999999999994</v>
      </c>
      <c r="N14" s="43"/>
      <c r="O14" s="43"/>
      <c r="Q14" s="43"/>
      <c r="R14" s="43"/>
    </row>
    <row r="15" spans="2:18" x14ac:dyDescent="0.3">
      <c r="B15" s="43"/>
      <c r="C15" s="43"/>
      <c r="E15" s="43"/>
      <c r="F15" s="43"/>
      <c r="H15" s="43" t="s">
        <v>72</v>
      </c>
      <c r="I15" s="44">
        <v>0.94</v>
      </c>
      <c r="J15" s="44">
        <v>0.02</v>
      </c>
      <c r="K15" s="44">
        <f t="shared" si="2"/>
        <v>7.8800000000000051E-2</v>
      </c>
      <c r="L15" s="44">
        <f t="shared" si="1"/>
        <v>7.8800000000000051E-2</v>
      </c>
      <c r="N15" s="43"/>
      <c r="O15" s="43"/>
      <c r="Q15" s="43"/>
      <c r="R15" s="43"/>
    </row>
    <row r="16" spans="2:18" x14ac:dyDescent="0.3">
      <c r="B16" s="43"/>
      <c r="C16" s="43"/>
      <c r="E16" s="43"/>
      <c r="F16" s="43"/>
      <c r="H16" s="43" t="s">
        <v>73</v>
      </c>
      <c r="I16" s="44">
        <v>0.99950000000000006</v>
      </c>
      <c r="J16" s="44">
        <v>0.02</v>
      </c>
      <c r="K16" s="44">
        <f t="shared" si="2"/>
        <v>2.0489999999999946E-2</v>
      </c>
      <c r="L16" s="44">
        <f t="shared" si="1"/>
        <v>2.0489999999999946E-2</v>
      </c>
      <c r="N16" s="43"/>
      <c r="O16" s="43"/>
      <c r="Q16" s="43"/>
      <c r="R16" s="43"/>
    </row>
    <row r="17" spans="2:18" x14ac:dyDescent="0.3">
      <c r="B17" s="43"/>
      <c r="C17" s="43"/>
      <c r="E17" s="43"/>
      <c r="F17" s="43"/>
      <c r="H17" s="43" t="s">
        <v>74</v>
      </c>
      <c r="I17" s="44">
        <v>0.8</v>
      </c>
      <c r="J17" s="44">
        <v>5.0000000000000001E-4</v>
      </c>
      <c r="K17" s="44">
        <f t="shared" si="2"/>
        <v>0.20039999999999997</v>
      </c>
      <c r="L17" s="44">
        <f t="shared" si="1"/>
        <v>0.20039999999999997</v>
      </c>
      <c r="N17" s="43"/>
      <c r="O17" s="43"/>
      <c r="Q17" s="43"/>
      <c r="R17" s="43"/>
    </row>
    <row r="18" spans="2:18" x14ac:dyDescent="0.3">
      <c r="B18" s="43"/>
      <c r="C18" s="43"/>
      <c r="E18" s="43"/>
      <c r="F18" s="43"/>
      <c r="H18" s="43" t="s">
        <v>75</v>
      </c>
      <c r="I18" s="44">
        <v>0.94</v>
      </c>
      <c r="J18" s="44">
        <v>5.0000000000000001E-4</v>
      </c>
      <c r="K18" s="44">
        <f t="shared" si="2"/>
        <v>6.0470000000000058E-2</v>
      </c>
      <c r="L18" s="44">
        <f t="shared" si="1"/>
        <v>6.0470000000000058E-2</v>
      </c>
      <c r="N18" s="43"/>
      <c r="O18" s="43"/>
      <c r="Q18" s="43"/>
      <c r="R18" s="43"/>
    </row>
    <row r="19" spans="2:18" x14ac:dyDescent="0.3">
      <c r="B19" s="43"/>
      <c r="C19" s="43"/>
      <c r="E19" s="43"/>
      <c r="F19" s="43"/>
      <c r="H19" s="43" t="s">
        <v>76</v>
      </c>
      <c r="I19" s="44">
        <v>0.99950000000000006</v>
      </c>
      <c r="J19" s="44">
        <v>5.0000000000000001E-4</v>
      </c>
      <c r="K19" s="44">
        <f t="shared" si="2"/>
        <v>9.9974999999994513E-4</v>
      </c>
      <c r="L19" s="44">
        <f t="shared" si="1"/>
        <v>9.9974999999994513E-4</v>
      </c>
      <c r="N19" s="43"/>
      <c r="O19" s="43"/>
      <c r="Q19" s="43"/>
      <c r="R19" s="43"/>
    </row>
    <row r="20" spans="2:18" x14ac:dyDescent="0.3">
      <c r="B20" s="43"/>
      <c r="C20" s="43"/>
      <c r="E20" s="43"/>
      <c r="F20" s="43"/>
      <c r="H20" s="43" t="s">
        <v>77</v>
      </c>
      <c r="I20" s="44">
        <v>0.99950000000000006</v>
      </c>
      <c r="J20" s="44">
        <v>0.1</v>
      </c>
      <c r="K20" s="44">
        <v>1</v>
      </c>
      <c r="L20" s="44">
        <f t="shared" si="1"/>
        <v>0.10044999999999996</v>
      </c>
      <c r="N20" s="43"/>
      <c r="O20" s="43"/>
      <c r="Q20" s="43"/>
      <c r="R20" s="43"/>
    </row>
    <row r="21" spans="2:18" x14ac:dyDescent="0.3">
      <c r="B21" s="43"/>
      <c r="C21" s="43"/>
      <c r="E21" s="43"/>
      <c r="F21" s="43"/>
      <c r="H21" s="43" t="s">
        <v>78</v>
      </c>
      <c r="I21" s="44">
        <v>0.99950000000000006</v>
      </c>
      <c r="J21" s="44">
        <v>0.02</v>
      </c>
      <c r="K21" s="44">
        <v>1</v>
      </c>
      <c r="L21" s="44">
        <f t="shared" si="1"/>
        <v>2.0489999999999946E-2</v>
      </c>
      <c r="N21" s="43"/>
      <c r="O21" s="43"/>
      <c r="Q21" s="43"/>
      <c r="R21" s="43"/>
    </row>
    <row r="22" spans="2:18" x14ac:dyDescent="0.3">
      <c r="B22" s="43"/>
      <c r="C22" s="43"/>
      <c r="E22" s="43"/>
      <c r="F22" s="43"/>
      <c r="H22" s="43" t="s">
        <v>79</v>
      </c>
      <c r="I22" s="44">
        <v>0.99950000000000006</v>
      </c>
      <c r="J22" s="44">
        <v>2E-3</v>
      </c>
      <c r="K22" s="44">
        <v>1</v>
      </c>
      <c r="L22" s="44">
        <f t="shared" si="1"/>
        <v>2.4989999999999448E-3</v>
      </c>
      <c r="N22" s="43"/>
      <c r="O22" s="43"/>
      <c r="Q22" s="43"/>
      <c r="R22" s="43"/>
    </row>
    <row r="23" spans="2:18" x14ac:dyDescent="0.3">
      <c r="B23" s="43"/>
      <c r="C23" s="43"/>
      <c r="E23" s="43"/>
      <c r="F23" s="43"/>
      <c r="H23" s="43" t="s">
        <v>80</v>
      </c>
      <c r="I23" s="44">
        <v>1</v>
      </c>
      <c r="J23" s="44">
        <v>5.0000000000000001E-4</v>
      </c>
      <c r="K23" s="44">
        <f>J23+((1-I23)*(1-J23))</f>
        <v>5.0000000000000001E-4</v>
      </c>
      <c r="L23" s="44">
        <f t="shared" si="1"/>
        <v>5.0000000000000001E-4</v>
      </c>
      <c r="N23" s="43"/>
      <c r="O23" s="43"/>
      <c r="Q23" s="43"/>
      <c r="R23" s="43"/>
    </row>
    <row r="24" spans="2:18" x14ac:dyDescent="0.3">
      <c r="B24" s="43"/>
      <c r="C24" s="43"/>
      <c r="E24" s="43"/>
      <c r="F24" s="43"/>
      <c r="H24" s="43"/>
      <c r="I24" s="43"/>
      <c r="J24" s="43"/>
      <c r="K24" s="43"/>
      <c r="L24" s="43"/>
      <c r="N24" s="43"/>
      <c r="O24" s="43"/>
      <c r="Q24" s="43"/>
      <c r="R24" s="43"/>
    </row>
    <row r="25" spans="2:18" x14ac:dyDescent="0.3">
      <c r="B25" s="43"/>
      <c r="C25" s="43"/>
      <c r="E25" s="43"/>
      <c r="F25" s="43"/>
      <c r="H25" s="43"/>
      <c r="I25" s="43"/>
      <c r="J25" s="43"/>
      <c r="K25" s="43"/>
      <c r="L25" s="43"/>
      <c r="N25" s="43"/>
      <c r="O25" s="43"/>
      <c r="Q25" s="43"/>
      <c r="R25" s="43"/>
    </row>
    <row r="26" spans="2:18" x14ac:dyDescent="0.3">
      <c r="B26" s="43"/>
      <c r="C26" s="43"/>
      <c r="E26" s="43"/>
      <c r="F26" s="43"/>
      <c r="H26" s="43"/>
      <c r="I26" s="43"/>
      <c r="J26" s="43"/>
      <c r="K26" s="43"/>
      <c r="L26" s="43"/>
      <c r="N26" s="43"/>
      <c r="O26" s="43"/>
      <c r="Q26" s="43"/>
      <c r="R26" s="43"/>
    </row>
    <row r="27" spans="2:18" x14ac:dyDescent="0.3">
      <c r="B27" s="43"/>
      <c r="C27" s="43"/>
      <c r="E27" s="43"/>
      <c r="F27" s="43"/>
      <c r="H27" s="43"/>
      <c r="I27" s="43"/>
      <c r="J27" s="43"/>
      <c r="K27" s="43"/>
      <c r="L27" s="43"/>
      <c r="N27" s="43"/>
      <c r="O27" s="43"/>
      <c r="Q27" s="43"/>
      <c r="R27" s="43"/>
    </row>
  </sheetData>
  <sheetProtection algorithmName="SHA-512" hashValue="grMog8liQIZzXL0uaUp7BbA7Ozcwmq5wO+eNM+Elbeq34j37UV9I3SUY5a8xi7kaaPQfUhiAfCCz/Sy2nGhwQw==" saltValue="rO2YFGF3999Q782OQsDOtQ==" spinCount="100000" sheet="1" objects="1" scenarios="1"/>
  <sortState xmlns:xlrd2="http://schemas.microsoft.com/office/spreadsheetml/2017/richdata2" ref="N4:O14">
    <sortCondition ref="N4"/>
  </sortState>
  <pageMargins left="0.7" right="0.7" top="0.78740157499999996" bottom="0.78740157499999996" header="0.3" footer="0.3"/>
  <pageSetup paperSize="9" orientation="portrait" r:id="rId1"/>
  <headerFooter>
    <oddFooter>&amp;L&amp;1#&amp;"Calibri"&amp;10&amp;K000000[internal]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2D12B182A652B41A10261ECA2535B78" ma:contentTypeVersion="20" ma:contentTypeDescription="Create a new document." ma:contentTypeScope="" ma:versionID="07b9ae586895bd4d9d729cabd72eaa6c">
  <xsd:schema xmlns:xsd="http://www.w3.org/2001/XMLSchema" xmlns:xs="http://www.w3.org/2001/XMLSchema" xmlns:p="http://schemas.microsoft.com/office/2006/metadata/properties" xmlns:ns1="3900a7cd-735b-4f56-a6f4-08d139dd6cc3" xmlns:ns3="8baa5676-2a8e-4c8c-a22b-d4cea8589c6a" targetNamespace="http://schemas.microsoft.com/office/2006/metadata/properties" ma:root="true" ma:fieldsID="5ff5edbed0393f71b18eeaed0d693c40" ns1:_="" ns3:_="">
    <xsd:import namespace="3900a7cd-735b-4f56-a6f4-08d139dd6cc3"/>
    <xsd:import namespace="8baa5676-2a8e-4c8c-a22b-d4cea8589c6a"/>
    <xsd:element name="properties">
      <xsd:complexType>
        <xsd:sequence>
          <xsd:element name="documentManagement">
            <xsd:complexType>
              <xsd:all>
                <xsd:element ref="ns1:Still_x0020_in_x0020_use" minOccurs="0"/>
                <xsd:element ref="ns1:DocumentTitle"/>
                <xsd:element ref="ns1:Description0" minOccurs="0"/>
                <xsd:element ref="ns1:DocumentLanguage"/>
                <xsd:element ref="ns1:LanguageTree" minOccurs="0"/>
                <xsd:element ref="ns1:FirstCategoryGroup"/>
                <xsd:element ref="ns1:SecondCategoryGroup" minOccurs="0"/>
                <xsd:element ref="ns1:ThirdCategoryGroup" minOccurs="0"/>
                <xsd:element ref="ns1:Date" minOccurs="0"/>
                <xsd:element ref="ns1:Website" minOccurs="0"/>
                <xsd:element ref="ns1:SourceID" minOccurs="0"/>
                <xsd:element ref="ns1:DynamicGrouping" minOccurs="0"/>
                <xsd:element ref="ns1:Materials_x0020__x002f__x0020_product_x0020_group"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900a7cd-735b-4f56-a6f4-08d139dd6cc3" elementFormDefault="qualified">
    <xsd:import namespace="http://schemas.microsoft.com/office/2006/documentManagement/types"/>
    <xsd:import namespace="http://schemas.microsoft.com/office/infopath/2007/PartnerControls"/>
    <xsd:element name="Still_x0020_in_x0020_use" ma:index="0" nillable="true" ma:displayName="Still in use" ma:default="1" ma:internalName="Still_x0020_in_x0020_use">
      <xsd:simpleType>
        <xsd:restriction base="dms:Boolean"/>
      </xsd:simpleType>
    </xsd:element>
    <xsd:element name="DocumentTitle" ma:index="2" ma:displayName="Title" ma:default="" ma:internalName="DocumentTitle">
      <xsd:simpleType>
        <xsd:restriction base="dms:Text">
          <xsd:maxLength value="255"/>
        </xsd:restriction>
      </xsd:simpleType>
    </xsd:element>
    <xsd:element name="Description0" ma:index="3" nillable="true" ma:displayName="Description" ma:default="" ma:internalName="Description0">
      <xsd:simpleType>
        <xsd:restriction base="dms:Note">
          <xsd:maxLength value="255"/>
        </xsd:restriction>
      </xsd:simpleType>
    </xsd:element>
    <xsd:element name="DocumentLanguage" ma:index="4" ma:displayName="Document language" ma:default="EN" ma:format="Dropdown" ma:internalName="DocumentLanguage">
      <xsd:simpleType>
        <xsd:restriction base="dms:Choice">
          <xsd:enumeration value="DE"/>
          <xsd:enumeration value="EN"/>
          <xsd:enumeration value="ES"/>
          <xsd:enumeration value="PT"/>
          <xsd:enumeration value="RU"/>
          <xsd:enumeration value="ZH"/>
        </xsd:restriction>
      </xsd:simpleType>
    </xsd:element>
    <xsd:element name="LanguageTree" ma:index="5" nillable="true" ma:displayName="Language tree" ma:internalName="LanguageTree">
      <xsd:complexType>
        <xsd:complexContent>
          <xsd:extension base="dms:MultiChoice">
            <xsd:sequence>
              <xsd:element name="Value" maxOccurs="unbounded" minOccurs="0" nillable="true">
                <xsd:simpleType>
                  <xsd:restriction base="dms:Choice">
                    <xsd:enumeration value="DE"/>
                    <xsd:enumeration value="EN"/>
                  </xsd:restriction>
                </xsd:simpleType>
              </xsd:element>
            </xsd:sequence>
          </xsd:extension>
        </xsd:complexContent>
      </xsd:complexType>
    </xsd:element>
    <xsd:element name="FirstCategoryGroup" ma:index="6" ma:displayName="Document type" ma:default="Documents" ma:format="Dropdown" ma:indexed="true" ma:internalName="FirstCategoryGroup">
      <xsd:simpleType>
        <xsd:restriction base="dms:Choice">
          <xsd:enumeration value="Documents"/>
          <xsd:enumeration value="Images"/>
          <xsd:enumeration value="Product Stories"/>
          <xsd:enumeration value="GPS Summary"/>
          <xsd:enumeration value="IR - Quarterly Reports"/>
          <xsd:enumeration value="IR - Annual Reports"/>
          <xsd:enumeration value="Media - Speeches &amp; Statements"/>
          <xsd:enumeration value="Publications - Evonik Magazine"/>
          <xsd:enumeration value="Publications - elements"/>
          <xsd:enumeration value="Company - CVs"/>
          <xsd:enumeration value="Sponsoring - BVB"/>
          <xsd:enumeration value="Articles"/>
          <xsd:enumeration value="Brochures"/>
          <xsd:enumeration value="Certificates"/>
          <xsd:enumeration value="Press releases"/>
          <xsd:enumeration value="Product flyer"/>
          <xsd:enumeration value="Product information"/>
          <xsd:enumeration value="Publications"/>
          <xsd:enumeration value="Questionaires"/>
          <xsd:enumeration value="References"/>
          <xsd:enumeration value="Services"/>
          <xsd:enumeration value="Technical literature"/>
          <xsd:enumeration value="other documents"/>
        </xsd:restriction>
      </xsd:simpleType>
    </xsd:element>
    <xsd:element name="SecondCategoryGroup" ma:index="7" nillable="true" ma:displayName="Area" ma:internalName="SecondCategoryGroup" ma:requiredMultiChoice="true">
      <xsd:complexType>
        <xsd:complexContent>
          <xsd:extension base="dms:MultiChoice">
            <xsd:sequence>
              <xsd:element name="Value" maxOccurs="unbounded" minOccurs="0" nillable="true">
                <xsd:simpleType>
                  <xsd:restriction base="dms:Choice">
                    <xsd:enumeration value="Company"/>
                    <xsd:enumeration value="Products"/>
                    <xsd:enumeration value="Sponsoring"/>
                    <xsd:enumeration value="Locations"/>
                    <xsd:enumeration value="Investor Relations"/>
                    <xsd:enumeration value="Media &amp; Publications"/>
                    <xsd:enumeration value="Research &amp; Development"/>
                    <xsd:enumeration value="Career"/>
                    <xsd:enumeration value="Responsibility"/>
                  </xsd:restriction>
                </xsd:simpleType>
              </xsd:element>
            </xsd:sequence>
          </xsd:extension>
        </xsd:complexContent>
      </xsd:complexType>
    </xsd:element>
    <xsd:element name="ThirdCategoryGroup" ma:index="8" nillable="true" ma:displayName="Location" ma:format="Dropdown" ma:internalName="ThirdCategoryGroup">
      <xsd:simpleType>
        <xsd:restriction base="dms:Choice">
          <xsd:enumeration value="Darmstadt"/>
          <xsd:enumeration value="Essen Campus"/>
          <xsd:enumeration value="Essen Goldschmidtstraße"/>
          <xsd:enumeration value="Gramatneusiedl"/>
          <xsd:enumeration value="Halle / Westfalen"/>
          <xsd:enumeration value="Hanau"/>
          <xsd:enumeration value="Herne"/>
          <xsd:enumeration value="Krefeld"/>
          <xsd:enumeration value="Lülsdorf"/>
          <xsd:enumeration value="Marl"/>
          <xsd:enumeration value="Rheinfelden"/>
          <xsd:enumeration value="Rheinmünster"/>
          <xsd:enumeration value="Steinau"/>
          <xsd:enumeration value="Weiterstadt"/>
          <xsd:enumeration value="Wesseling"/>
          <xsd:enumeration value="Witten"/>
          <xsd:enumeration value="Worms"/>
        </xsd:restriction>
      </xsd:simpleType>
    </xsd:element>
    <xsd:element name="Date" ma:index="9" nillable="true" ma:displayName="Date" ma:format="DateOnly" ma:indexed="true" ma:internalName="Date">
      <xsd:simpleType>
        <xsd:restriction base="dms:DateTime"/>
      </xsd:simpleType>
    </xsd:element>
    <xsd:element name="Website" ma:index="10" nillable="true" ma:displayName="Website" ma:default="Current" ma:internalName="Website" ma:requiredMultiChoice="true">
      <xsd:complexType>
        <xsd:complexContent>
          <xsd:extension base="dms:MultiChoice">
            <xsd:sequence>
              <xsd:element name="Value" maxOccurs="unbounded" minOccurs="0" nillable="true">
                <xsd:simpleType>
                  <xsd:restriction base="dms:Choice">
                    <xsd:enumeration value="Current"/>
                    <xsd:enumeration value="C8 Monomers"/>
                    <xsd:enumeration value="DuraMem &amp; PuraMem"/>
                    <xsd:enumeration value="P84"/>
                    <xsd:enumeration value="ROHACELL"/>
                    <xsd:enumeration value="Sports"/>
                    <xsd:enumeration value="TROGAMID"/>
                    <xsd:enumeration value="VESTAKEEP for Implants"/>
                    <xsd:enumeration value="VESTAKEEP Industrial"/>
                    <xsd:enumeration value="VESTAMID"/>
                    <xsd:enumeration value="VESTENAMER"/>
                    <xsd:enumeration value="VESTODUR"/>
                    <xsd:enumeration value="VESTOSINT"/>
                  </xsd:restriction>
                </xsd:simpleType>
              </xsd:element>
            </xsd:sequence>
          </xsd:extension>
        </xsd:complexContent>
      </xsd:complexType>
    </xsd:element>
    <xsd:element name="SourceID" ma:index="11" nillable="true" ma:displayName="SourceID" ma:internalName="SourceID">
      <xsd:simpleType>
        <xsd:restriction base="dms:Text">
          <xsd:maxLength value="255"/>
        </xsd:restriction>
      </xsd:simpleType>
    </xsd:element>
    <xsd:element name="DynamicGrouping" ma:index="13" nillable="true" ma:displayName="DynamicGrouping" ma:internalName="DynamicGrouping">
      <xsd:complexType>
        <xsd:complexContent>
          <xsd:extension base="dms:MultiChoice">
            <xsd:sequence>
              <xsd:element name="Value" maxOccurs="unbounded" minOccurs="0" nillable="true">
                <xsd:simpleType>
                  <xsd:restriction base="dms:Choice">
                    <xsd:enumeration value="IR-Presentations-2019"/>
                    <xsd:enumeration value="IR-Presentations-2018"/>
                    <xsd:enumeration value="IR-Presentations-2017"/>
                    <xsd:enumeration value="IR-Presentations-2016"/>
                    <xsd:enumeration value="IR-Presentations-2015"/>
                    <xsd:enumeration value="IR-Presentations-2014"/>
                    <xsd:enumeration value="IR-Presentations-2013"/>
                    <xsd:enumeration value="IR-Presentations-2012"/>
                    <xsd:enumeration value="IR-Presentations-2011"/>
                  </xsd:restriction>
                </xsd:simpleType>
              </xsd:element>
            </xsd:sequence>
          </xsd:extension>
        </xsd:complexContent>
      </xsd:complexType>
    </xsd:element>
    <xsd:element name="Materials_x0020__x002f__x0020_product_x0020_group" ma:index="14" nillable="true" ma:displayName="Materials / product group" ma:internalName="Materials_x0020__x002f__x0020_product_x0020_group">
      <xsd:complexType>
        <xsd:complexContent>
          <xsd:extension base="dms:MultiChoice">
            <xsd:sequence>
              <xsd:element name="Value" maxOccurs="unbounded" minOccurs="0" nillable="true">
                <xsd:simpleType>
                  <xsd:restriction base="dms:Choice">
                    <xsd:enumeration value="Biobased polymers"/>
                    <xsd:enumeration value="Coating powder"/>
                    <xsd:enumeration value="Composites"/>
                    <xsd:enumeration value="Elastic polyamides"/>
                    <xsd:enumeration value="Filaments and tissues"/>
                    <xsd:enumeration value="High-impact polyamides"/>
                    <xsd:enumeration value="High-temperature polymers"/>
                    <xsd:enumeration value="Hot-melt adhesives"/>
                    <xsd:enumeration value="Laser sintering powder"/>
                    <xsd:enumeration value="Membranes"/>
                    <xsd:enumeration value="Plastic-rubber composites"/>
                    <xsd:enumeration value="Sealing compounds"/>
                    <xsd:enumeration value="Sheets and films"/>
                    <xsd:enumeration value="Structural foams"/>
                    <xsd:enumeration value="Transparent polyamides"/>
                    <xsd:enumeration value="VESTAKEEP base grades"/>
                    <xsd:enumeration value="VESTAKEEP standard compounds"/>
                    <xsd:enumeration value="VESTAKEEP specialty compounds"/>
                    <xsd:enumeration value="VESTAKEEP powders"/>
                    <xsd:enumeration value="VESTAKEEP films"/>
                    <xsd:enumeration value="VESTAMID HTplus"/>
                    <xsd:enumeration value="VESTAMID NRG"/>
                    <xsd:enumeration value="VESTAMID Terra"/>
                  </xsd:restriction>
                </xsd:simple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baa5676-2a8e-4c8c-a22b-d4cea8589c6a" elementFormDefault="qualified">
    <xsd:import namespace="http://schemas.microsoft.com/office/2006/documentManagement/types"/>
    <xsd:import namespace="http://schemas.microsoft.com/office/infopath/2007/PartnerControls"/>
    <xsd:element name="SharedWithUsers" ma:index="1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anguageTree xmlns="3900a7cd-735b-4f56-a6f4-08d139dd6cc3">
      <Value>DE</Value>
    </LanguageTree>
    <Date xmlns="3900a7cd-735b-4f56-a6f4-08d139dd6cc3" xsi:nil="true"/>
    <Description0 xmlns="3900a7cd-735b-4f56-a6f4-08d139dd6cc3" xsi:nil="true"/>
    <DocumentTitle xmlns="3900a7cd-735b-4f56-a6f4-08d139dd6cc3">Aerosol-Innenraum-Simulator_Vers. 1.2</DocumentTitle>
    <ThirdCategoryGroup xmlns="3900a7cd-735b-4f56-a6f4-08d139dd6cc3" xsi:nil="true"/>
    <FirstCategoryGroup xmlns="3900a7cd-735b-4f56-a6f4-08d139dd6cc3">Documents</FirstCategoryGroup>
    <Materials_x0020__x002f__x0020_product_x0020_group xmlns="3900a7cd-735b-4f56-a6f4-08d139dd6cc3"/>
    <DocumentLanguage xmlns="3900a7cd-735b-4f56-a6f4-08d139dd6cc3">DE</DocumentLanguage>
    <SecondCategoryGroup xmlns="3900a7cd-735b-4f56-a6f4-08d139dd6cc3">
      <Value>Company</Value>
    </SecondCategoryGroup>
    <SourceID xmlns="3900a7cd-735b-4f56-a6f4-08d139dd6cc3" xsi:nil="true"/>
    <Website xmlns="3900a7cd-735b-4f56-a6f4-08d139dd6cc3">
      <Value>Current</Value>
    </Website>
    <DynamicGrouping xmlns="3900a7cd-735b-4f56-a6f4-08d139dd6cc3"/>
    <Still_x0020_in_x0020_use xmlns="3900a7cd-735b-4f56-a6f4-08d139dd6cc3">true</Still_x0020_in_x0020_use>
  </documentManagement>
</p:properties>
</file>

<file path=customXml/itemProps1.xml><?xml version="1.0" encoding="utf-8"?>
<ds:datastoreItem xmlns:ds="http://schemas.openxmlformats.org/officeDocument/2006/customXml" ds:itemID="{BCC662AB-2BF5-4D6E-B197-A2E50EB8AA0A}"/>
</file>

<file path=customXml/itemProps2.xml><?xml version="1.0" encoding="utf-8"?>
<ds:datastoreItem xmlns:ds="http://schemas.openxmlformats.org/officeDocument/2006/customXml" ds:itemID="{56E3490D-E0AC-4B12-909E-20EFB372D13D}"/>
</file>

<file path=customXml/itemProps3.xml><?xml version="1.0" encoding="utf-8"?>
<ds:datastoreItem xmlns:ds="http://schemas.openxmlformats.org/officeDocument/2006/customXml" ds:itemID="{48CD0524-ACB0-4101-B8E4-142C6FBE5536}"/>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6</vt:i4>
      </vt:variant>
    </vt:vector>
  </HeadingPairs>
  <TitlesOfParts>
    <vt:vector size="6" baseType="lpstr">
      <vt:lpstr>Intro</vt:lpstr>
      <vt:lpstr>Simulation</vt:lpstr>
      <vt:lpstr>Mobilgeräte</vt:lpstr>
      <vt:lpstr>FAQ</vt:lpstr>
      <vt:lpstr>Literatur</vt:lpstr>
      <vt:lpstr>Einstellungen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Paassen, Andreas</dc:creator>
  <cp:lastModifiedBy>Paassen, Andreas</cp:lastModifiedBy>
  <dcterms:created xsi:type="dcterms:W3CDTF">2021-02-05T13:17:54Z</dcterms:created>
  <dcterms:modified xsi:type="dcterms:W3CDTF">2021-07-16T07:00:02Z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bda4ade-b73a-4575-9edb-0cfe0c309fd1_Enabled">
    <vt:lpwstr>true</vt:lpwstr>
  </property>
  <property fmtid="{D5CDD505-2E9C-101B-9397-08002B2CF9AE}" pid="3" name="MSIP_Label_abda4ade-b73a-4575-9edb-0cfe0c309fd1_SetDate">
    <vt:lpwstr>2021-07-16T06:59:59Z</vt:lpwstr>
  </property>
  <property fmtid="{D5CDD505-2E9C-101B-9397-08002B2CF9AE}" pid="4" name="MSIP_Label_abda4ade-b73a-4575-9edb-0cfe0c309fd1_Method">
    <vt:lpwstr>Privileged</vt:lpwstr>
  </property>
  <property fmtid="{D5CDD505-2E9C-101B-9397-08002B2CF9AE}" pid="5" name="MSIP_Label_abda4ade-b73a-4575-9edb-0cfe0c309fd1_Name">
    <vt:lpwstr>abda4ade-b73a-4575-9edb-0cfe0c309fd1</vt:lpwstr>
  </property>
  <property fmtid="{D5CDD505-2E9C-101B-9397-08002B2CF9AE}" pid="6" name="MSIP_Label_abda4ade-b73a-4575-9edb-0cfe0c309fd1_SiteId">
    <vt:lpwstr>acf01cd9-ddd4-4522-a2c3-ebcadef31fbb</vt:lpwstr>
  </property>
  <property fmtid="{D5CDD505-2E9C-101B-9397-08002B2CF9AE}" pid="7" name="MSIP_Label_abda4ade-b73a-4575-9edb-0cfe0c309fd1_ActionId">
    <vt:lpwstr>0a7e89ea-0ca1-4c33-8899-c5712fc671d8</vt:lpwstr>
  </property>
  <property fmtid="{D5CDD505-2E9C-101B-9397-08002B2CF9AE}" pid="8" name="MSIP_Label_abda4ade-b73a-4575-9edb-0cfe0c309fd1_ContentBits">
    <vt:lpwstr>2</vt:lpwstr>
  </property>
  <property fmtid="{D5CDD505-2E9C-101B-9397-08002B2CF9AE}" pid="9" name="ContentTypeId">
    <vt:lpwstr>0x01010002D12B182A652B41A10261ECA2535B78</vt:lpwstr>
  </property>
</Properties>
</file>