
<file path=[Content_Types].xml><?xml version="1.0" encoding="utf-8"?>
<Types xmlns="http://schemas.openxmlformats.org/package/2006/content-types">
  <Default Extension="bin" ContentType="application/vnd.openxmlformats-officedocument.spreadsheetml.printerSettings"/>
  <Default Extension="png" ContentType="image/png"/>
  <Default Extension="glb" ContentType="model/gltf.binary"/>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K:\User\A0319\Corona\Studie\Innenraum\"/>
    </mc:Choice>
  </mc:AlternateContent>
  <xr:revisionPtr revIDLastSave="0" documentId="8_{19A144C7-A097-4523-8087-388A9EA36626}" xr6:coauthVersionLast="45" xr6:coauthVersionMax="45" xr10:uidLastSave="{00000000-0000-0000-0000-000000000000}"/>
  <bookViews>
    <workbookView xWindow="-108" yWindow="-108" windowWidth="23256" windowHeight="12576" xr2:uid="{4720B8DD-5E29-4C07-B5A7-8D42E2200718}"/>
  </bookViews>
  <sheets>
    <sheet name="Intro" sheetId="1" r:id="rId1"/>
    <sheet name="Simulation" sheetId="2" r:id="rId2"/>
    <sheet name="Mobile device" sheetId="5" r:id="rId3"/>
    <sheet name="FAQ" sheetId="4" r:id="rId4"/>
    <sheet name="Literature" sheetId="6" r:id="rId5"/>
    <sheet name="Settings" sheetId="3" state="hidden"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0" i="2" l="1"/>
  <c r="W21" i="2" l="1"/>
  <c r="W16" i="2"/>
  <c r="W11" i="2"/>
  <c r="S21" i="2" l="1"/>
  <c r="S19" i="2"/>
  <c r="S20" i="2"/>
  <c r="S18" i="2"/>
  <c r="T9" i="2" l="1"/>
  <c r="L23" i="3" l="1"/>
  <c r="L22" i="3"/>
  <c r="L21" i="3"/>
  <c r="L20" i="3"/>
  <c r="L19" i="3"/>
  <c r="L18" i="3"/>
  <c r="L17" i="3"/>
  <c r="L16" i="3"/>
  <c r="L15" i="3"/>
  <c r="L14" i="3"/>
  <c r="L13" i="3"/>
  <c r="L12" i="3"/>
  <c r="L11" i="3"/>
  <c r="L10" i="3"/>
  <c r="L9" i="3"/>
  <c r="L8" i="3"/>
  <c r="L7" i="3"/>
  <c r="L6" i="3"/>
  <c r="L5" i="3"/>
  <c r="L4" i="3"/>
  <c r="L3" i="3"/>
  <c r="K23" i="3"/>
  <c r="K19" i="3"/>
  <c r="K18" i="3"/>
  <c r="K17" i="3"/>
  <c r="K16" i="3"/>
  <c r="K15" i="3"/>
  <c r="K14" i="3"/>
  <c r="K13" i="3"/>
  <c r="K12" i="3"/>
  <c r="K11" i="3"/>
  <c r="K10" i="3"/>
  <c r="K8" i="3"/>
  <c r="K6" i="3"/>
  <c r="K3" i="3"/>
  <c r="K4" i="3"/>
  <c r="D7" i="2"/>
  <c r="D6" i="2" s="1"/>
  <c r="M17" i="2" l="1"/>
  <c r="L21" i="2" s="1"/>
  <c r="M12" i="2"/>
  <c r="L16" i="2" s="1"/>
  <c r="M7" i="2"/>
  <c r="L11" i="2" s="1"/>
  <c r="I9" i="2"/>
  <c r="D14" i="2"/>
  <c r="D15" i="2"/>
  <c r="D8" i="2"/>
  <c r="T6" i="2" s="1"/>
  <c r="T7" i="2" l="1"/>
  <c r="G9" i="2"/>
  <c r="F20" i="2" s="1"/>
  <c r="T8" i="2" l="1"/>
  <c r="T10" i="2" l="1"/>
  <c r="V10" i="2"/>
  <c r="W12" i="2" l="1"/>
  <c r="V12" i="2"/>
  <c r="T12" i="2" s="1"/>
  <c r="T13" i="2" l="1"/>
  <c r="O9" i="2" l="1"/>
  <c r="Q9" i="2" s="1"/>
  <c r="O8" i="2"/>
  <c r="Q8" i="2" s="1"/>
  <c r="O7" i="2"/>
  <c r="Q7" i="2" s="1"/>
  <c r="O14" i="2"/>
  <c r="Q14" i="2" s="1"/>
  <c r="O18" i="2"/>
  <c r="Q18" i="2" s="1"/>
  <c r="O19" i="2"/>
  <c r="Q19" i="2" s="1"/>
  <c r="O11" i="2"/>
  <c r="Q11" i="2" s="1"/>
  <c r="O17" i="2"/>
  <c r="Q17" i="2" s="1"/>
  <c r="O13" i="2"/>
  <c r="Q13" i="2" s="1"/>
  <c r="O12" i="2"/>
  <c r="Q12" i="2" s="1"/>
  <c r="O16" i="2"/>
  <c r="Q16" i="2" s="1"/>
  <c r="O10" i="2"/>
  <c r="Q10" i="2" s="1"/>
  <c r="O15" i="2"/>
  <c r="Q15"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Paassen, Andreas</author>
  </authors>
  <commentList>
    <comment ref="G6" authorId="0" shapeId="0" xr:uid="{15F16B53-C38C-4C4E-85D0-FC1F7819491E}">
      <text>
        <r>
          <rPr>
            <sz val="9"/>
            <color indexed="81"/>
            <rFont val="Segoe UI"/>
            <family val="2"/>
          </rPr>
          <t xml:space="preserve">Width * Depth of the room
</t>
        </r>
      </text>
    </comment>
    <comment ref="L6" authorId="0" shapeId="0" xr:uid="{DB9CB100-7E1E-41CA-BB8B-7D8D76DB2020}">
      <text>
        <r>
          <rPr>
            <sz val="9"/>
            <color indexed="81"/>
            <rFont val="Segoe UI"/>
            <family val="2"/>
          </rPr>
          <t xml:space="preserve">The intensity of air exchange depends on the temperature difference of the room from the outside air.
</t>
        </r>
      </text>
    </comment>
    <comment ref="L8" authorId="0" shapeId="0" xr:uid="{5A6FE960-B6EA-4BA9-A854-5C93AF0EAFC8}">
      <text>
        <r>
          <rPr>
            <sz val="9"/>
            <color indexed="81"/>
            <rFont val="Segoe UI"/>
            <family val="2"/>
          </rPr>
          <t xml:space="preserve">Duration of the ventilation measure carried out. In case of continuous ventilation, indicate total duration.
</t>
        </r>
      </text>
    </comment>
    <comment ref="L9" authorId="0" shapeId="0" xr:uid="{A63055BA-BB09-4103-82D0-B295F049A065}">
      <text>
        <r>
          <rPr>
            <sz val="9"/>
            <color indexed="81"/>
            <rFont val="Segoe UI"/>
            <family val="2"/>
          </rPr>
          <t>In the case of short-term ventilation, the ventilation interval indicates the time intervals at which the ventilation measure is repeated.
For continuous ventilation, the ventilation interval = ventilation duration.</t>
        </r>
      </text>
    </comment>
    <comment ref="C10" authorId="0" shapeId="0" xr:uid="{44403C8C-0AF2-4597-9746-8C634597F36F}">
      <text>
        <r>
          <rPr>
            <sz val="9"/>
            <color indexed="81"/>
            <rFont val="Segoe UI"/>
            <family val="2"/>
          </rPr>
          <t xml:space="preserve">The duration of the source's stay in the room before the receiver arrives. 
During this time, the virus concentration in the room is increased, so that when the receiver arrives, there is already an increased virus concentration.
</t>
        </r>
      </text>
    </comment>
    <comment ref="L10" authorId="0" shapeId="0" xr:uid="{65E40A99-BEE4-444E-9C33-466937FE5BDC}">
      <text>
        <r>
          <rPr>
            <b/>
            <sz val="9"/>
            <color indexed="81"/>
            <rFont val="Segoe UI"/>
            <family val="2"/>
          </rPr>
          <t xml:space="preserve">Calculation
</t>
        </r>
        <r>
          <rPr>
            <sz val="9"/>
            <color indexed="81"/>
            <rFont val="Segoe UI"/>
            <family val="2"/>
          </rPr>
          <t xml:space="preserve">Window area: window height x window width 
Door area: door height x door width
Window tilt area: Gap width x (window height + window width)
total area: sum of single window/door areas and window tilt areas
</t>
        </r>
      </text>
    </comment>
    <comment ref="L13" authorId="0" shapeId="0" xr:uid="{C4393DCE-7ABC-4D62-85E2-80332AC86BCB}">
      <text>
        <r>
          <rPr>
            <sz val="9"/>
            <color indexed="81"/>
            <rFont val="Segoe UI"/>
            <family val="2"/>
          </rPr>
          <t xml:space="preserve">Duration of the ventilation measure carried out. In case of continuous ventilation, indicate total duration.
</t>
        </r>
      </text>
    </comment>
    <comment ref="H14" authorId="0" shapeId="0" xr:uid="{32556AEE-4F7E-46F8-8319-5CC0D6DA2712}">
      <text>
        <r>
          <rPr>
            <sz val="9"/>
            <color indexed="81"/>
            <rFont val="Segoe UI"/>
            <charset val="1"/>
          </rPr>
          <t>The air exchange rate refers to the change of room volume per hour. If the exchanged air volume in m3 is known, divide it by the room volume and refer to 1 hour.</t>
        </r>
      </text>
    </comment>
    <comment ref="L14" authorId="0" shapeId="0" xr:uid="{569907A8-4AC0-4A74-858C-0E9839E66619}">
      <text>
        <r>
          <rPr>
            <sz val="9"/>
            <color indexed="81"/>
            <rFont val="Segoe UI"/>
            <family val="2"/>
          </rPr>
          <t xml:space="preserve">In the case of short-term ventilation, the ventilation interval indicates the time intervals at which the ventilation measure is repeated.
For continuous ventilation, the ventilation interval = ventilation duration.
</t>
        </r>
      </text>
    </comment>
    <comment ref="L15" authorId="0" shapeId="0" xr:uid="{A790D3AD-674E-4F80-8315-90CBBB42BBF4}">
      <text>
        <r>
          <rPr>
            <b/>
            <sz val="9"/>
            <color indexed="81"/>
            <rFont val="Segoe UI"/>
            <family val="2"/>
          </rPr>
          <t xml:space="preserve">Calculation
</t>
        </r>
        <r>
          <rPr>
            <sz val="9"/>
            <color indexed="81"/>
            <rFont val="Segoe UI"/>
            <family val="2"/>
          </rPr>
          <t xml:space="preserve">Window area: window height x window width 
Door area: door height x door width
Window tilt area: Gap width x (window height + window width)
total area: sum of single window/door areas and window tilt areas
</t>
        </r>
      </text>
    </comment>
    <comment ref="C17" authorId="0" shapeId="0" xr:uid="{B538A29C-A8D3-4A9D-B5A5-DBA5DE4CDADF}">
      <text>
        <r>
          <rPr>
            <sz val="9"/>
            <color indexed="81"/>
            <rFont val="Segoe UI"/>
            <family val="2"/>
          </rPr>
          <t xml:space="preserve">The duration of the joint stay of source and recipient. If the source is already in the room before the recipient arrives, the time must be recorded in line 10.
</t>
        </r>
      </text>
    </comment>
    <comment ref="H17" authorId="0" shapeId="0" xr:uid="{73E0717F-0D17-4C36-B7C3-2BC6AF796E73}">
      <text>
        <r>
          <rPr>
            <sz val="9"/>
            <color indexed="81"/>
            <rFont val="Segoe UI"/>
            <family val="2"/>
          </rPr>
          <t xml:space="preserve">The air exchange rate refers to the change of room volume per hour. If the exchanged air volume in m3 is known, divide it by the room volume and refer to 1 hour.
</t>
        </r>
      </text>
    </comment>
    <comment ref="L18" authorId="0" shapeId="0" xr:uid="{F369B418-1491-43FD-987E-6F7743F55209}">
      <text>
        <r>
          <rPr>
            <sz val="9"/>
            <color indexed="81"/>
            <rFont val="Segoe UI"/>
            <family val="2"/>
          </rPr>
          <t xml:space="preserve">Duration of the ventilation measure carried out. In case of continuous ventilation, indicate total duration.
</t>
        </r>
      </text>
    </comment>
    <comment ref="H19" authorId="0" shapeId="0" xr:uid="{30C4C5F6-3706-4849-9AF7-F84E344A29F1}">
      <text>
        <r>
          <rPr>
            <sz val="9"/>
            <color indexed="81"/>
            <rFont val="Segoe UI"/>
            <family val="2"/>
          </rPr>
          <t xml:space="preserve">The air exchange rate refers to the change of room volume per hour. If the exchanged air volume in m3 is known, divide it by the room volume and refer to 1 hour.
</t>
        </r>
      </text>
    </comment>
    <comment ref="L19" authorId="0" shapeId="0" xr:uid="{3E393E51-C7F2-45F6-B7A6-431F6791B07D}">
      <text>
        <r>
          <rPr>
            <sz val="9"/>
            <color indexed="81"/>
            <rFont val="Segoe UI"/>
            <family val="2"/>
          </rPr>
          <t xml:space="preserve">In the case of short-term ventilation, the ventilation interval indicates the time intervals at which the ventilation measure is repeated.
For continuous ventilation, the ventilation interval = ventilation duration.
</t>
        </r>
      </text>
    </comment>
    <comment ref="L20" authorId="0" shapeId="0" xr:uid="{8A0E87C0-7C5C-4DB1-A140-7B653438D927}">
      <text>
        <r>
          <rPr>
            <b/>
            <sz val="9"/>
            <color indexed="81"/>
            <rFont val="Segoe UI"/>
            <family val="2"/>
          </rPr>
          <t xml:space="preserve">Calculation
</t>
        </r>
        <r>
          <rPr>
            <sz val="9"/>
            <color indexed="81"/>
            <rFont val="Segoe UI"/>
            <family val="2"/>
          </rPr>
          <t xml:space="preserve">Window area: window height x window width 
Door area: door height x door width
Window tilt area: Gap width x (window height + window width)
total area: sum of single window/door areas and window tilt areas
</t>
        </r>
      </text>
    </comment>
  </commentList>
</comments>
</file>

<file path=xl/sharedStrings.xml><?xml version="1.0" encoding="utf-8"?>
<sst xmlns="http://schemas.openxmlformats.org/spreadsheetml/2006/main" count="212" uniqueCount="169">
  <si>
    <t>Raum</t>
  </si>
  <si>
    <t>m3</t>
  </si>
  <si>
    <t>min.</t>
  </si>
  <si>
    <t>m</t>
  </si>
  <si>
    <t>m2</t>
  </si>
  <si>
    <t>/h</t>
  </si>
  <si>
    <t>B 1.1.7 England</t>
  </si>
  <si>
    <t>m3/min</t>
  </si>
  <si>
    <t>=</t>
  </si>
  <si>
    <t xml:space="preserve">SARS-CoV-2 </t>
  </si>
  <si>
    <t>&lt;C&gt; Dr. med. Andreas Paaßen</t>
  </si>
  <si>
    <t>1.</t>
  </si>
  <si>
    <t xml:space="preserve">2. </t>
  </si>
  <si>
    <t>Evans et al., 2020; Avoiding COVID-19: Aerosol guidelines; Department of Physics, Massachusetts Institute of Technology, Cambridge</t>
  </si>
  <si>
    <t>3.</t>
  </si>
  <si>
    <t>4.</t>
  </si>
  <si>
    <t>Atkinson et al., 2009: Natural Ventilation for Infection Control in Health-Care Settings; World Health Organization</t>
  </si>
  <si>
    <t>5.</t>
  </si>
  <si>
    <t>Paul Hewett, Exposure Assessment Solutions, Inc. (www.easinc.co)</t>
  </si>
  <si>
    <t xml:space="preserve">Bazant et al. ,2020; Beyond Six Feet: A Guideline to Limit Indoor Airborne Transmission of COVID-19;  </t>
  </si>
  <si>
    <t>Department of Chemical Engineering, Department of Mathematics, Massachusetts Institute of Technology, Cambridge</t>
  </si>
  <si>
    <t>Miller et al., 2020; Transmission of SARS-CoV-2 by inhalation of respiratory aerosol in the Skagit Valley Chorale superspreading event</t>
  </si>
  <si>
    <t>Aerosol-Indoor-Simulator</t>
  </si>
  <si>
    <t>Assessment of risks and protective measures for free-floating aerosols in indoor environments</t>
  </si>
  <si>
    <t>without consideration of social contacts</t>
  </si>
  <si>
    <t>No prediction of diseases</t>
  </si>
  <si>
    <t>The evaluation of the room situation depends on the amount of aerosol released</t>
  </si>
  <si>
    <t>from an infectious source. There are large individual differences.</t>
  </si>
  <si>
    <t xml:space="preserve">The 80th percentile of infectious individuals is used for the assessment. This means </t>
  </si>
  <si>
    <t>hat the assessment is accurate for the ratios of more than 80% of cases. In the case of so-called</t>
  </si>
  <si>
    <t xml:space="preserve">superspreading events, significantly higher aerosol quantities can also be released. </t>
  </si>
  <si>
    <t>The assessment is based on the assumption that aerosols are equally distributed in space at all times.</t>
  </si>
  <si>
    <t>Risks arising from proximity to the source are not considered.</t>
  </si>
  <si>
    <t>These are to be determined in the corona simulator.</t>
  </si>
  <si>
    <t>Speaking*:</t>
  </si>
  <si>
    <t>Activity*:</t>
  </si>
  <si>
    <t>Mask*:</t>
  </si>
  <si>
    <t>Time before the recipient</t>
  </si>
  <si>
    <t>enters the room*:</t>
  </si>
  <si>
    <t>Common time in the</t>
  </si>
  <si>
    <t>room with source*:</t>
  </si>
  <si>
    <t>Recipient</t>
  </si>
  <si>
    <t>Source</t>
  </si>
  <si>
    <t>Virus Variants</t>
  </si>
  <si>
    <t>Virus Variants*:</t>
  </si>
  <si>
    <t>Room area*:</t>
  </si>
  <si>
    <t>Height*:</t>
  </si>
  <si>
    <t>Room Volume:</t>
  </si>
  <si>
    <t>Air conditioning/ Ventilation</t>
  </si>
  <si>
    <t>Air exchange rate fresh air fraction:</t>
  </si>
  <si>
    <t>Air exchange rate via filtering/ UV radiation</t>
  </si>
  <si>
    <t>- with efficient airflow:</t>
  </si>
  <si>
    <t>- with simple airflow (mobile):</t>
  </si>
  <si>
    <t>Free ventilation</t>
  </si>
  <si>
    <t>Outdoor temp.*:</t>
  </si>
  <si>
    <t>Celsius</t>
  </si>
  <si>
    <t>Ventilation type:</t>
  </si>
  <si>
    <t>Interval:</t>
  </si>
  <si>
    <t>Duration:</t>
  </si>
  <si>
    <t>Window/door area</t>
  </si>
  <si>
    <t>Air exchange rate:</t>
  </si>
  <si>
    <t>Good</t>
  </si>
  <si>
    <t>risky</t>
  </si>
  <si>
    <t>Assessment</t>
  </si>
  <si>
    <t>Results</t>
  </si>
  <si>
    <t>Hints</t>
  </si>
  <si>
    <t>Effective virus emission:</t>
  </si>
  <si>
    <t>Virions/min</t>
  </si>
  <si>
    <t>Virions/m3</t>
  </si>
  <si>
    <t>Virions</t>
  </si>
  <si>
    <t>% 80th Percen.</t>
  </si>
  <si>
    <t>Eff. air exchange rate:</t>
  </si>
  <si>
    <t>incl. virus losses:</t>
  </si>
  <si>
    <t>Virus concentration room:</t>
  </si>
  <si>
    <t>Intake recipient:</t>
  </si>
  <si>
    <t>Infektion risk:</t>
  </si>
  <si>
    <t>Air currents can transport aerosols from one</t>
  </si>
  <si>
    <t>person to another. Pay attention to position!</t>
  </si>
  <si>
    <t>Speaking</t>
  </si>
  <si>
    <t>Virions/min.</t>
  </si>
  <si>
    <t>Activity</t>
  </si>
  <si>
    <t>Minute ventilation</t>
  </si>
  <si>
    <t>Masks</t>
  </si>
  <si>
    <t>Infektion dose</t>
  </si>
  <si>
    <t>AER /h</t>
  </si>
  <si>
    <t>Ventilation type</t>
  </si>
  <si>
    <t>Filter effect</t>
  </si>
  <si>
    <t>Leakage</t>
  </si>
  <si>
    <t>Effectivity ex</t>
  </si>
  <si>
    <t>Silence</t>
  </si>
  <si>
    <t>Normal portion 20%</t>
  </si>
  <si>
    <t>Normal portion 40%</t>
  </si>
  <si>
    <t>Normal portion 60%</t>
  </si>
  <si>
    <t>Normal portion 80%</t>
  </si>
  <si>
    <t>Normal portion 100%</t>
  </si>
  <si>
    <t>Loud portion 20%</t>
  </si>
  <si>
    <t>Loud portion 40%</t>
  </si>
  <si>
    <t>Loud portion 60%</t>
  </si>
  <si>
    <t>Loud portion 80%</t>
  </si>
  <si>
    <t>Loud portion 100%</t>
  </si>
  <si>
    <t>active rest</t>
  </si>
  <si>
    <t>light</t>
  </si>
  <si>
    <t>medium</t>
  </si>
  <si>
    <t>heavy</t>
  </si>
  <si>
    <t>No</t>
  </si>
  <si>
    <t>FFP1 without valve</t>
  </si>
  <si>
    <t>FFP1 with valve</t>
  </si>
  <si>
    <t>FFP2 without valve</t>
  </si>
  <si>
    <t>FFP2 with valve</t>
  </si>
  <si>
    <t>FFP3 without valve</t>
  </si>
  <si>
    <t>FFP3 with valve</t>
  </si>
  <si>
    <t>Medical mask</t>
  </si>
  <si>
    <t>Cloth mask</t>
  </si>
  <si>
    <t>Complete leakage</t>
  </si>
  <si>
    <t>Face visor</t>
  </si>
  <si>
    <t>P1-Filter and half mask</t>
  </si>
  <si>
    <t>P2-Filter and half mask</t>
  </si>
  <si>
    <t>P3-Filter and half mask</t>
  </si>
  <si>
    <t>P1-Filter and full mask</t>
  </si>
  <si>
    <t>P2-Filter and full mask</t>
  </si>
  <si>
    <t>P3-Filter and full mask</t>
  </si>
  <si>
    <t>P-Supplied Air Resp. TH1</t>
  </si>
  <si>
    <t>P-Supplied Air Resp. TH2</t>
  </si>
  <si>
    <t>P-Supplied Air Resp. TH3</t>
  </si>
  <si>
    <t>Insulation device</t>
  </si>
  <si>
    <t>B 1.351 South Africa</t>
  </si>
  <si>
    <t>Wild type</t>
  </si>
  <si>
    <t>Virus loss rate</t>
  </si>
  <si>
    <t>Collision rate</t>
  </si>
  <si>
    <t>Windows tilted</t>
  </si>
  <si>
    <t>One side ventilation</t>
  </si>
  <si>
    <t>Cross ventilation</t>
  </si>
  <si>
    <t xml:space="preserve">Mobile units with simple airflow draw in the room air at one point, clean the air via HEPA filters </t>
  </si>
  <si>
    <t>or UV-C radiation and blow it out again without any special precautions for airflow in the room.</t>
  </si>
  <si>
    <t>Tests have shown that the cleaning performance due to the re-suction of already cleaned air is extremely good</t>
  </si>
  <si>
    <t>in the vicinity of the unit, but deteriorates with increasing distance. This results in a permanent, highly different distribution</t>
  </si>
  <si>
    <t>of aerosols in the room. The efficiency can drop considerably due to the re-suction of already cleaned air.</t>
  </si>
  <si>
    <t xml:space="preserve">In practice, it can be assumed that in the immediate </t>
  </si>
  <si>
    <t>vicinity of the air purification unit there is a very high</t>
  </si>
  <si>
    <t>purification efficiency. At a greater distance, e.g. over 2 m,</t>
  </si>
  <si>
    <t>the effect can only be assessed with uncertainty.</t>
  </si>
  <si>
    <t>Literature on the adaptation of calculations</t>
  </si>
  <si>
    <t xml:space="preserve">FAQ </t>
  </si>
  <si>
    <t>What does the assessment show in the simulator?</t>
  </si>
  <si>
    <t xml:space="preserve">The rating indicates good ventilation with low concentrations of active viruses (virions) with reference to blue and green coloring. An indoor air with a </t>
  </si>
  <si>
    <t xml:space="preserve">higher concentration of virions is displayed in the red area. Due to the many influencing factors, there is no precise limit value. </t>
  </si>
  <si>
    <t>Therefore, a transition zone from green to red is displayed. In summary, the greener the color scheme, the better the ventilation.</t>
  </si>
  <si>
    <t>What does the 80th percentile mean?</t>
  </si>
  <si>
    <t xml:space="preserve">Risks from indoor aerosols are determined by many different factors. Among them are physical factors in aerosol formation and air currents. </t>
  </si>
  <si>
    <t>Other factors are person-related and show very considerable individual differences such as, in the case of the source, the current infectivity or virus excretion and</t>
  </si>
  <si>
    <t xml:space="preserve">the recipient's current susceptibility to infection. Because of this uncertainty, the person-related factors are considered in such a way that for each factor the value </t>
  </si>
  <si>
    <t>is assumed in which at least 80% of the possible values of the distribution lie. Since this assumption is made for each factor, when combined with a</t>
  </si>
  <si>
    <t>coverage of significantly more than 80% of the possible cases. In concrete terms, this means that in rare cases (&lt;20%), superspreaders can also have significantly higher</t>
  </si>
  <si>
    <t xml:space="preserve">risks of infection cannot be ruled out. As a rule, more than 80% of cases have a lower risk of infection up to a maximum of the specified risk. </t>
  </si>
  <si>
    <t>What is the significance of the number of people in the room?</t>
  </si>
  <si>
    <t>Basically, the 7-day incidence rate indicates the probability that persons may be infectious. With an incidence of 100, 1 infectious person per 1,000 is currently expected.</t>
  </si>
  <si>
    <t xml:space="preserve">This risk applies to each person in the room, so multiply the incidence rate by the number of people. In this indoor simulator, the individuelle </t>
  </si>
  <si>
    <t>risk of infection is calculated for the case that there is an infectious person (source) in the room. This risk is not affected by the total number of people.</t>
  </si>
  <si>
    <t>Is it useful to perform C02 measurements?</t>
  </si>
  <si>
    <t xml:space="preserve">The individual risk of infection depends exclusively on the virus concentration in the room. The Co2 value depends exclusively on the number of people. </t>
  </si>
  <si>
    <t>Therefore, the CO2 value is not a measure of the risk of infection. Much more precise is the control by fixed ventilation times, which can be determined in this simulator.</t>
  </si>
  <si>
    <t xml:space="preserve">What is the difference between one-sided ventilation and cross ventilation? </t>
  </si>
  <si>
    <t>One-sided ventilation is ventilation via supply and exhaust air openings in one outer wall. In the case of cross ventilation, the openings are in opposite exterior walls.</t>
  </si>
  <si>
    <t>Because of the chimney effect, cross ventilation is significantly more effective. Ventilations can be carried out continuously (tilting windows) or briefly as shock ventilation.</t>
  </si>
  <si>
    <t>The required duration of ventilation depends on the temperature differences between the room and the outside air.</t>
  </si>
  <si>
    <t>Version 1.2</t>
  </si>
  <si>
    <t>B 1.617.2 Delta</t>
  </si>
  <si>
    <t>Effectivity in</t>
  </si>
  <si>
    <t>10-17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</si>
</sst>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Symbol"/>
      <family val="1"/>
      <charset val="2"/>
    </font>
    <font>
      <sz val="9"/>
      <color indexed="81"/>
      <name val="Segoe UI"/>
      <charset val="1"/>
    </font>
    <font>
      <b/>
      <sz val="9"/>
      <color indexed="81"/>
      <name val="Segoe UI"/>
      <family val="2"/>
    </font>
    <font>
      <sz val="9"/>
      <color indexed="81"/>
      <name val="Segoe UI"/>
      <family val="2"/>
    </font>
    <font>
      <sz val="10"/>
      <color theme="1"/>
      <name val="Calibri"/>
      <family val="2"/>
      <scheme val="minor"/>
    </font>
    <font>
      <sz val="11"/>
      <color theme="4" tint="0.79998168889431442"/>
      <name val="Calibri"/>
      <family val="2"/>
      <scheme val="minor"/>
    </font>
    <font>
      <b/>
      <sz val="11"/>
      <color rgb="FFFFFF99"/>
      <name val="Calibri"/>
      <family val="2"/>
    </font>
    <font>
      <sz val="11"/>
      <color rgb="FFFFFF99"/>
      <name val="Calibri"/>
      <family val="2"/>
      <scheme val="minor"/>
    </font>
    <font>
      <sz val="11"/>
      <name val="Calibri"/>
      <family val="2"/>
      <scheme val="minor"/>
    </font>
    <font>
      <i/>
      <sz val="11"/>
      <color theme="0"/>
      <name val="Calibri"/>
      <family val="2"/>
      <scheme val="minor"/>
    </font>
    <font>
      <sz val="9"/>
      <color theme="1"/>
      <name val="Calibri"/>
      <family val="2"/>
      <scheme val="minor"/>
    </font>
    <font>
      <sz val="9"/>
      <color theme="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99"/>
        <bgColor indexed="64"/>
      </patternFill>
    </fill>
    <fill>
      <gradientFill degree="90">
        <stop position="0">
          <color rgb="FF00B050"/>
        </stop>
        <stop position="1">
          <color rgb="FF00B0F0"/>
        </stop>
      </gradientFill>
    </fill>
    <fill>
      <gradientFill degree="90">
        <stop position="0">
          <color rgb="FFFF0000"/>
        </stop>
        <stop position="1">
          <color rgb="FF00B050"/>
        </stop>
      </gradientFill>
    </fill>
    <fill>
      <patternFill patternType="solid">
        <fgColor rgb="FFFF0000"/>
        <bgColor auto="1"/>
      </patternFill>
    </fill>
    <fill>
      <patternFill patternType="solid">
        <fgColor rgb="FF0070C0"/>
        <bgColor indexed="64"/>
      </patternFill>
    </fill>
    <fill>
      <patternFill patternType="solid">
        <fgColor theme="4" tint="0.399975585192419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s>
  <cellStyleXfs count="1">
    <xf numFmtId="0" fontId="0" fillId="0" borderId="0"/>
  </cellStyleXfs>
  <cellXfs count="100">
    <xf numFmtId="0" fontId="0" fillId="0" borderId="0" xfId="0"/>
    <xf numFmtId="0" fontId="1" fillId="5" borderId="0" xfId="0" applyFont="1" applyFill="1" applyProtection="1">
      <protection hidden="1"/>
    </xf>
    <xf numFmtId="0" fontId="4" fillId="5" borderId="0" xfId="0" applyFont="1" applyFill="1" applyProtection="1">
      <protection hidden="1"/>
    </xf>
    <xf numFmtId="0" fontId="0" fillId="0" borderId="0" xfId="0" applyProtection="1">
      <protection hidden="1"/>
    </xf>
    <xf numFmtId="0" fontId="16" fillId="5" borderId="0" xfId="0" applyFont="1" applyFill="1" applyProtection="1">
      <protection hidden="1"/>
    </xf>
    <xf numFmtId="0" fontId="0" fillId="7" borderId="0" xfId="0" applyFill="1" applyProtection="1">
      <protection hidden="1"/>
    </xf>
    <xf numFmtId="0" fontId="0" fillId="0" borderId="1" xfId="0" applyFill="1" applyBorder="1" applyProtection="1">
      <protection hidden="1"/>
    </xf>
    <xf numFmtId="0" fontId="0" fillId="2" borderId="1" xfId="0" applyFill="1" applyBorder="1" applyProtection="1">
      <protection hidden="1"/>
    </xf>
    <xf numFmtId="0" fontId="4" fillId="0" borderId="0" xfId="0" applyFont="1" applyFill="1" applyProtection="1">
      <protection hidden="1"/>
    </xf>
    <xf numFmtId="0" fontId="4" fillId="7" borderId="0" xfId="0" applyFont="1" applyFill="1" applyProtection="1">
      <protection hidden="1"/>
    </xf>
    <xf numFmtId="0" fontId="1" fillId="7" borderId="0" xfId="0" applyFont="1" applyFill="1" applyProtection="1">
      <protection hidden="1"/>
    </xf>
    <xf numFmtId="0" fontId="0" fillId="0" borderId="0" xfId="0" applyFill="1" applyProtection="1">
      <protection hidden="1"/>
    </xf>
    <xf numFmtId="0" fontId="0" fillId="5" borderId="0" xfId="0" applyFill="1" applyProtection="1">
      <protection hidden="1"/>
    </xf>
    <xf numFmtId="0" fontId="0" fillId="6" borderId="0" xfId="0" applyFill="1" applyProtection="1">
      <protection hidden="1"/>
    </xf>
    <xf numFmtId="0" fontId="3" fillId="6" borderId="0" xfId="0" applyFont="1" applyFill="1" applyProtection="1">
      <protection hidden="1"/>
    </xf>
    <xf numFmtId="0" fontId="0" fillId="7" borderId="0" xfId="0" applyFill="1" applyAlignment="1" applyProtection="1">
      <alignment vertical="center"/>
      <protection hidden="1"/>
    </xf>
    <xf numFmtId="0" fontId="5" fillId="0" borderId="0" xfId="0" applyFont="1" applyAlignment="1" applyProtection="1">
      <alignment horizontal="left" vertical="center" indent="4"/>
      <protection hidden="1"/>
    </xf>
    <xf numFmtId="0" fontId="3" fillId="6" borderId="0" xfId="0" applyFont="1" applyFill="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protection hidden="1"/>
    </xf>
    <xf numFmtId="0" fontId="4" fillId="2" borderId="0" xfId="0" applyFont="1" applyFill="1" applyProtection="1">
      <protection hidden="1"/>
    </xf>
    <xf numFmtId="0" fontId="0" fillId="2" borderId="0" xfId="0" applyFill="1" applyProtection="1">
      <protection hidden="1"/>
    </xf>
    <xf numFmtId="0" fontId="0" fillId="13" borderId="0" xfId="0" applyFill="1" applyProtection="1">
      <protection hidden="1"/>
    </xf>
    <xf numFmtId="0" fontId="0" fillId="12" borderId="0" xfId="0" applyFill="1" applyBorder="1" applyProtection="1">
      <protection hidden="1"/>
    </xf>
    <xf numFmtId="0" fontId="0" fillId="12" borderId="0" xfId="0" applyFill="1" applyProtection="1">
      <protection hidden="1"/>
    </xf>
    <xf numFmtId="0" fontId="1" fillId="12" borderId="0" xfId="0" applyFont="1" applyFill="1" applyBorder="1" applyProtection="1">
      <protection hidden="1"/>
    </xf>
    <xf numFmtId="0" fontId="1" fillId="12" borderId="0" xfId="0" applyFont="1" applyFill="1" applyBorder="1" applyAlignment="1" applyProtection="1">
      <alignment horizontal="left"/>
      <protection hidden="1"/>
    </xf>
    <xf numFmtId="0" fontId="3" fillId="12" borderId="0" xfId="0" applyFont="1" applyFill="1" applyBorder="1" applyAlignment="1" applyProtection="1">
      <alignment horizontal="left"/>
      <protection hidden="1"/>
    </xf>
    <xf numFmtId="0" fontId="4" fillId="12" borderId="0" xfId="0" applyFont="1" applyFill="1" applyBorder="1" applyAlignment="1" applyProtection="1">
      <alignment horizontal="left"/>
      <protection hidden="1"/>
    </xf>
    <xf numFmtId="0" fontId="14" fillId="12" borderId="0" xfId="0" applyFont="1" applyFill="1" applyBorder="1" applyAlignment="1" applyProtection="1">
      <alignment horizontal="left"/>
      <protection hidden="1"/>
    </xf>
    <xf numFmtId="0" fontId="3" fillId="12" borderId="0" xfId="0" applyFont="1" applyFill="1" applyBorder="1" applyAlignment="1" applyProtection="1">
      <alignment horizontal="right"/>
      <protection hidden="1"/>
    </xf>
    <xf numFmtId="0" fontId="0" fillId="12" borderId="0" xfId="0" applyFill="1" applyBorder="1" applyAlignment="1" applyProtection="1">
      <alignment horizontal="left"/>
      <protection hidden="1"/>
    </xf>
    <xf numFmtId="0" fontId="0" fillId="0" borderId="0" xfId="0" applyFill="1" applyBorder="1" applyProtection="1">
      <protection hidden="1"/>
    </xf>
    <xf numFmtId="0" fontId="3" fillId="0" borderId="0" xfId="0" applyFont="1" applyFill="1" applyBorder="1" applyAlignment="1" applyProtection="1">
      <alignment horizontal="left"/>
      <protection hidden="1"/>
    </xf>
    <xf numFmtId="0" fontId="0" fillId="0" borderId="0" xfId="0" applyFill="1" applyBorder="1" applyAlignment="1" applyProtection="1">
      <alignment horizontal="center"/>
      <protection hidden="1"/>
    </xf>
    <xf numFmtId="0" fontId="0" fillId="6" borderId="0" xfId="0" applyFill="1" applyBorder="1" applyProtection="1">
      <protection hidden="1"/>
    </xf>
    <xf numFmtId="0" fontId="3" fillId="6" borderId="0" xfId="0" applyFont="1" applyFill="1" applyBorder="1" applyAlignment="1" applyProtection="1">
      <alignment horizontal="right"/>
      <protection hidden="1"/>
    </xf>
    <xf numFmtId="0" fontId="0" fillId="6" borderId="0" xfId="0" applyFill="1" applyBorder="1" applyAlignment="1" applyProtection="1">
      <alignment horizontal="center"/>
      <protection hidden="1"/>
    </xf>
    <xf numFmtId="0" fontId="3" fillId="6" borderId="0" xfId="0" applyFont="1" applyFill="1" applyBorder="1" applyAlignment="1" applyProtection="1">
      <alignment horizontal="left"/>
      <protection hidden="1"/>
    </xf>
    <xf numFmtId="0" fontId="0" fillId="6" borderId="0" xfId="0" applyFill="1" applyBorder="1" applyAlignment="1" applyProtection="1">
      <alignment horizontal="right"/>
      <protection hidden="1"/>
    </xf>
    <xf numFmtId="164" fontId="0" fillId="6" borderId="0" xfId="0" applyNumberFormat="1" applyFill="1" applyBorder="1" applyAlignment="1" applyProtection="1">
      <alignment horizontal="center"/>
      <protection hidden="1"/>
    </xf>
    <xf numFmtId="0" fontId="9" fillId="6" borderId="0" xfId="0" applyFont="1" applyFill="1" applyBorder="1" applyProtection="1">
      <protection hidden="1"/>
    </xf>
    <xf numFmtId="0" fontId="2" fillId="6" borderId="0" xfId="0" applyFont="1" applyFill="1" applyBorder="1" applyAlignment="1" applyProtection="1">
      <alignment horizontal="center"/>
      <protection hidden="1"/>
    </xf>
    <xf numFmtId="0" fontId="0" fillId="6" borderId="0" xfId="0" quotePrefix="1" applyFill="1" applyBorder="1" applyProtection="1">
      <protection hidden="1"/>
    </xf>
    <xf numFmtId="9" fontId="0" fillId="6" borderId="0" xfId="0" applyNumberFormat="1" applyFill="1" applyBorder="1" applyAlignment="1" applyProtection="1">
      <alignment horizontal="center"/>
      <protection hidden="1"/>
    </xf>
    <xf numFmtId="0" fontId="9" fillId="6" borderId="0" xfId="0" applyFont="1" applyFill="1" applyBorder="1" applyAlignment="1" applyProtection="1">
      <alignment horizontal="right"/>
      <protection hidden="1"/>
    </xf>
    <xf numFmtId="0" fontId="9" fillId="6" borderId="0" xfId="0" applyFont="1" applyFill="1" applyBorder="1" applyAlignment="1" applyProtection="1">
      <alignment horizontal="center"/>
      <protection hidden="1"/>
    </xf>
    <xf numFmtId="0" fontId="9" fillId="6" borderId="0" xfId="0" quotePrefix="1" applyFont="1" applyFill="1" applyBorder="1" applyProtection="1">
      <protection hidden="1"/>
    </xf>
    <xf numFmtId="0" fontId="3" fillId="0" borderId="0" xfId="0" applyFont="1" applyFill="1" applyBorder="1" applyAlignment="1" applyProtection="1">
      <alignment horizontal="right"/>
      <protection hidden="1"/>
    </xf>
    <xf numFmtId="0" fontId="0" fillId="0" borderId="0" xfId="0" applyFill="1" applyBorder="1" applyAlignment="1" applyProtection="1">
      <alignment horizontal="right"/>
      <protection hidden="1"/>
    </xf>
    <xf numFmtId="164" fontId="4" fillId="0" borderId="0" xfId="0" applyNumberFormat="1" applyFont="1" applyFill="1" applyBorder="1" applyAlignment="1" applyProtection="1">
      <alignment horizontal="center"/>
      <protection hidden="1"/>
    </xf>
    <xf numFmtId="9" fontId="0" fillId="0" borderId="0" xfId="0" applyNumberFormat="1" applyFill="1" applyBorder="1" applyAlignment="1" applyProtection="1">
      <alignment horizontal="center"/>
      <protection hidden="1"/>
    </xf>
    <xf numFmtId="2" fontId="4" fillId="0" borderId="0" xfId="0" applyNumberFormat="1" applyFont="1" applyFill="1" applyBorder="1" applyAlignment="1" applyProtection="1">
      <alignment horizontal="center"/>
      <protection hidden="1"/>
    </xf>
    <xf numFmtId="2" fontId="0" fillId="0" borderId="0" xfId="0" applyNumberFormat="1" applyFill="1" applyBorder="1" applyAlignment="1" applyProtection="1">
      <alignment horizontal="center"/>
      <protection hidden="1"/>
    </xf>
    <xf numFmtId="0" fontId="3" fillId="3" borderId="2" xfId="0" applyFont="1" applyFill="1" applyBorder="1" applyProtection="1">
      <protection hidden="1"/>
    </xf>
    <xf numFmtId="0" fontId="0" fillId="3" borderId="3" xfId="0" applyFill="1" applyBorder="1" applyProtection="1">
      <protection hidden="1"/>
    </xf>
    <xf numFmtId="0" fontId="0" fillId="3" borderId="4" xfId="0" applyFill="1" applyBorder="1" applyProtection="1">
      <protection hidden="1"/>
    </xf>
    <xf numFmtId="0" fontId="10" fillId="7" borderId="0" xfId="0" applyFont="1" applyFill="1" applyProtection="1">
      <protection hidden="1"/>
    </xf>
    <xf numFmtId="0" fontId="15" fillId="7" borderId="0" xfId="0" applyFont="1" applyFill="1" applyProtection="1">
      <protection hidden="1"/>
    </xf>
    <xf numFmtId="0" fontId="0" fillId="8" borderId="5" xfId="0" applyFill="1" applyBorder="1" applyProtection="1">
      <protection hidden="1"/>
    </xf>
    <xf numFmtId="0" fontId="0" fillId="8" borderId="0" xfId="0" applyFill="1" applyBorder="1" applyAlignment="1" applyProtection="1">
      <alignment horizontal="center"/>
      <protection hidden="1"/>
    </xf>
    <xf numFmtId="0" fontId="0" fillId="8" borderId="6" xfId="0" applyFill="1" applyBorder="1" applyProtection="1">
      <protection hidden="1"/>
    </xf>
    <xf numFmtId="2" fontId="0" fillId="8" borderId="1" xfId="0" applyNumberFormat="1" applyFill="1" applyBorder="1" applyProtection="1">
      <protection hidden="1"/>
    </xf>
    <xf numFmtId="0" fontId="11" fillId="8" borderId="5" xfId="0" applyFont="1" applyFill="1" applyBorder="1" applyAlignment="1" applyProtection="1">
      <alignment horizontal="right"/>
      <protection hidden="1"/>
    </xf>
    <xf numFmtId="0" fontId="0" fillId="4" borderId="0" xfId="0" applyFill="1" applyBorder="1" applyProtection="1">
      <protection hidden="1"/>
    </xf>
    <xf numFmtId="0" fontId="12" fillId="8" borderId="6" xfId="0" applyFont="1" applyFill="1" applyBorder="1" applyProtection="1">
      <protection hidden="1"/>
    </xf>
    <xf numFmtId="0" fontId="12" fillId="8" borderId="5" xfId="0" applyFont="1" applyFill="1" applyBorder="1" applyAlignment="1" applyProtection="1">
      <alignment horizontal="right"/>
      <protection hidden="1"/>
    </xf>
    <xf numFmtId="0" fontId="0" fillId="8" borderId="5" xfId="0" quotePrefix="1" applyFill="1" applyBorder="1" applyAlignment="1" applyProtection="1">
      <alignment horizontal="right"/>
      <protection hidden="1"/>
    </xf>
    <xf numFmtId="0" fontId="0" fillId="7" borderId="1" xfId="0" applyFill="1" applyBorder="1" applyProtection="1">
      <protection hidden="1"/>
    </xf>
    <xf numFmtId="0" fontId="0" fillId="8" borderId="5" xfId="0" applyFill="1" applyBorder="1" applyAlignment="1" applyProtection="1">
      <alignment horizontal="left"/>
      <protection hidden="1"/>
    </xf>
    <xf numFmtId="0" fontId="0" fillId="8" borderId="1" xfId="0" applyFill="1" applyBorder="1" applyProtection="1">
      <protection hidden="1"/>
    </xf>
    <xf numFmtId="0" fontId="0" fillId="7" borderId="0" xfId="0" applyFill="1" applyBorder="1" applyProtection="1">
      <protection hidden="1"/>
    </xf>
    <xf numFmtId="0" fontId="0" fillId="11" borderId="0" xfId="0" applyFill="1" applyBorder="1" applyAlignment="1" applyProtection="1">
      <protection hidden="1"/>
    </xf>
    <xf numFmtId="2" fontId="13" fillId="7" borderId="0" xfId="0" applyNumberFormat="1" applyFont="1" applyFill="1" applyBorder="1" applyProtection="1">
      <protection hidden="1"/>
    </xf>
    <xf numFmtId="0" fontId="0" fillId="4" borderId="0" xfId="0" applyFill="1" applyBorder="1" applyAlignment="1" applyProtection="1">
      <protection hidden="1"/>
    </xf>
    <xf numFmtId="2" fontId="0" fillId="8" borderId="0" xfId="0" applyNumberFormat="1" applyFill="1" applyBorder="1" applyProtection="1">
      <protection hidden="1"/>
    </xf>
    <xf numFmtId="0" fontId="13" fillId="0" borderId="0" xfId="0" applyFont="1" applyFill="1" applyProtection="1">
      <protection hidden="1"/>
    </xf>
    <xf numFmtId="0" fontId="0" fillId="8" borderId="0" xfId="0" applyFill="1" applyBorder="1" applyProtection="1">
      <protection hidden="1"/>
    </xf>
    <xf numFmtId="2" fontId="13" fillId="7" borderId="0" xfId="0" applyNumberFormat="1" applyFont="1" applyFill="1" applyProtection="1">
      <protection hidden="1"/>
    </xf>
    <xf numFmtId="0" fontId="0" fillId="7" borderId="0" xfId="0" quotePrefix="1" applyFill="1" applyProtection="1">
      <protection hidden="1"/>
    </xf>
    <xf numFmtId="0" fontId="13" fillId="7" borderId="0" xfId="0" applyFont="1" applyFill="1" applyProtection="1">
      <protection hidden="1"/>
    </xf>
    <xf numFmtId="0" fontId="3" fillId="8" borderId="5" xfId="0" applyFont="1" applyFill="1" applyBorder="1" applyProtection="1">
      <protection hidden="1"/>
    </xf>
    <xf numFmtId="0" fontId="3" fillId="6" borderId="0" xfId="0" applyFont="1" applyFill="1" applyBorder="1" applyProtection="1">
      <protection hidden="1"/>
    </xf>
    <xf numFmtId="0" fontId="0" fillId="9" borderId="0" xfId="0" applyFill="1" applyBorder="1" applyProtection="1">
      <protection hidden="1"/>
    </xf>
    <xf numFmtId="0" fontId="3" fillId="7" borderId="0" xfId="0" applyFont="1" applyFill="1" applyBorder="1" applyProtection="1">
      <protection hidden="1"/>
    </xf>
    <xf numFmtId="0" fontId="0" fillId="8" borderId="7" xfId="0" applyFill="1" applyBorder="1" applyProtection="1">
      <protection hidden="1"/>
    </xf>
    <xf numFmtId="0" fontId="0" fillId="8" borderId="8" xfId="0" applyFill="1" applyBorder="1" applyProtection="1">
      <protection hidden="1"/>
    </xf>
    <xf numFmtId="0" fontId="0" fillId="8" borderId="9" xfId="0" applyFill="1" applyBorder="1" applyProtection="1">
      <protection hidden="1"/>
    </xf>
    <xf numFmtId="0" fontId="3" fillId="8" borderId="7" xfId="0" applyFont="1" applyFill="1" applyBorder="1" applyProtection="1">
      <protection hidden="1"/>
    </xf>
    <xf numFmtId="0" fontId="0" fillId="0" borderId="1" xfId="0" applyFill="1" applyBorder="1" applyProtection="1">
      <protection locked="0" hidden="1"/>
    </xf>
    <xf numFmtId="0" fontId="0" fillId="0" borderId="1" xfId="0" applyFill="1" applyBorder="1" applyAlignment="1" applyProtection="1">
      <alignment horizontal="center"/>
      <protection locked="0" hidden="1"/>
    </xf>
    <xf numFmtId="0" fontId="0" fillId="2" borderId="1" xfId="0" applyFill="1" applyBorder="1" applyProtection="1">
      <protection locked="0" hidden="1"/>
    </xf>
    <xf numFmtId="49" fontId="0" fillId="0" borderId="1" xfId="0" applyNumberFormat="1" applyBorder="1" applyAlignment="1" applyProtection="1">
      <alignment horizontal="right"/>
      <protection locked="0" hidden="1"/>
    </xf>
    <xf numFmtId="0" fontId="0" fillId="0" borderId="1" xfId="0" applyBorder="1" applyAlignment="1" applyProtection="1">
      <alignment horizontal="center"/>
      <protection locked="0" hidden="1"/>
    </xf>
    <xf numFmtId="0" fontId="0" fillId="0" borderId="1" xfId="0" applyBorder="1" applyProtection="1">
      <protection locked="0" hidden="1"/>
    </xf>
    <xf numFmtId="0" fontId="0" fillId="0" borderId="10" xfId="0" applyBorder="1" applyAlignment="1" applyProtection="1">
      <alignment horizontal="center"/>
      <protection locked="0" hidden="1"/>
    </xf>
    <xf numFmtId="0" fontId="3" fillId="3" borderId="2" xfId="0" applyFont="1" applyFill="1" applyBorder="1" applyAlignment="1" applyProtection="1">
      <alignment horizontal="center"/>
      <protection hidden="1"/>
    </xf>
    <xf numFmtId="0" fontId="3" fillId="3" borderId="3" xfId="0" applyFont="1" applyFill="1" applyBorder="1" applyAlignment="1" applyProtection="1">
      <alignment horizontal="center"/>
      <protection hidden="1"/>
    </xf>
    <xf numFmtId="0" fontId="3" fillId="3" borderId="4" xfId="0" applyFont="1" applyFill="1" applyBorder="1" applyAlignment="1" applyProtection="1">
      <alignment horizontal="center"/>
      <protection hidden="1"/>
    </xf>
    <xf numFmtId="0" fontId="0" fillId="10" borderId="0" xfId="0" applyFill="1" applyBorder="1" applyAlignment="1" applyProtection="1">
      <protection hidden="1"/>
    </xf>
  </cellXfs>
  <cellStyles count="1">
    <cellStyle name="Standard" xfId="0" builtinId="0"/>
  </cellStyles>
  <dxfs count="2">
    <dxf>
      <fill>
        <gradientFill degree="90">
          <stop position="0">
            <color rgb="FFFFFF99"/>
          </stop>
          <stop position="0.5">
            <color theme="1"/>
          </stop>
          <stop position="1">
            <color rgb="FFFFFF99"/>
          </stop>
        </gradientFill>
      </fill>
    </dxf>
    <dxf>
      <fill>
        <gradientFill degree="90">
          <stop position="0">
            <color rgb="FFFFFF99"/>
          </stop>
          <stop position="0.5">
            <color theme="1"/>
          </stop>
          <stop position="1">
            <color rgb="FFFFFF99"/>
          </stop>
        </gradientFill>
      </fill>
    </dxf>
  </dxfs>
  <tableStyles count="0" defaultTableStyle="TableStyleMedium2" defaultPivotStyle="PivotStyleLight16"/>
  <colors>
    <mruColors>
      <color rgb="FFFFFF99"/>
      <color rgb="FFFF8D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microsoft.com/office/2017/06/relationships/model3d" Target="../media/model3d1.glb"/></Relationships>
</file>

<file path=xl/drawings/drawing1.xml><?xml version="1.0" encoding="utf-8"?>
<xdr:wsDr xmlns:xdr="http://schemas.openxmlformats.org/drawingml/2006/spreadsheetDrawing" xmlns:a="http://schemas.openxmlformats.org/drawingml/2006/main">
  <xdr:twoCellAnchor editAs="oneCell">
    <xdr:from>
      <xdr:col>8</xdr:col>
      <xdr:colOff>133350</xdr:colOff>
      <xdr:row>5</xdr:row>
      <xdr:rowOff>38100</xdr:rowOff>
    </xdr:from>
    <xdr:to>
      <xdr:col>11</xdr:col>
      <xdr:colOff>355600</xdr:colOff>
      <xdr:row>13</xdr:row>
      <xdr:rowOff>146050</xdr:rowOff>
    </xdr:to>
    <xdr:pic>
      <xdr:nvPicPr>
        <xdr:cNvPr id="8" name="Grafik 7">
          <a:extLst>
            <a:ext uri="{FF2B5EF4-FFF2-40B4-BE49-F238E27FC236}">
              <a16:creationId xmlns:a16="http://schemas.microsoft.com/office/drawing/2014/main" id="{BA730D20-4B07-4D7A-976B-7C3EA28FAF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1150" y="958850"/>
          <a:ext cx="2508250"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558800</xdr:colOff>
      <xdr:row>8</xdr:row>
      <xdr:rowOff>152400</xdr:rowOff>
    </xdr:from>
    <xdr:to>
      <xdr:col>10</xdr:col>
      <xdr:colOff>241300</xdr:colOff>
      <xdr:row>22</xdr:row>
      <xdr:rowOff>88900</xdr:rowOff>
    </xdr:to>
    <xdr:sp macro="" textlink="">
      <xdr:nvSpPr>
        <xdr:cNvPr id="4" name="Ellipse 3">
          <a:extLst>
            <a:ext uri="{FF2B5EF4-FFF2-40B4-BE49-F238E27FC236}">
              <a16:creationId xmlns:a16="http://schemas.microsoft.com/office/drawing/2014/main" id="{F628D046-742E-4473-B567-21CC9BB98509}"/>
            </a:ext>
          </a:extLst>
        </xdr:cNvPr>
        <xdr:cNvSpPr/>
      </xdr:nvSpPr>
      <xdr:spPr>
        <a:xfrm>
          <a:off x="3886200" y="1555750"/>
          <a:ext cx="2730500" cy="2514600"/>
        </a:xfrm>
        <a:prstGeom prst="ellipse">
          <a:avLst/>
        </a:prstGeom>
        <a:gradFill flip="none" rotWithShape="1">
          <a:gsLst>
            <a:gs pos="1000">
              <a:schemeClr val="accent1">
                <a:lumMod val="20000"/>
                <a:lumOff val="80000"/>
              </a:schemeClr>
            </a:gs>
            <a:gs pos="74000">
              <a:schemeClr val="accent1">
                <a:lumMod val="20000"/>
                <a:lumOff val="80000"/>
              </a:schemeClr>
            </a:gs>
            <a:gs pos="71000">
              <a:schemeClr val="accent1">
                <a:lumMod val="40000"/>
                <a:lumOff val="60000"/>
              </a:schemeClr>
            </a:gs>
            <a:gs pos="100000">
              <a:schemeClr val="accent1">
                <a:lumMod val="30000"/>
                <a:lumOff val="70000"/>
              </a:schemeClr>
            </a:gs>
          </a:gsLst>
          <a:path path="circl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508000</xdr:colOff>
      <xdr:row>11</xdr:row>
      <xdr:rowOff>127000</xdr:rowOff>
    </xdr:from>
    <xdr:to>
      <xdr:col>9</xdr:col>
      <xdr:colOff>419100</xdr:colOff>
      <xdr:row>19</xdr:row>
      <xdr:rowOff>158750</xdr:rowOff>
    </xdr:to>
    <xdr:sp macro="" textlink="">
      <xdr:nvSpPr>
        <xdr:cNvPr id="3" name="Ellipse 2">
          <a:extLst>
            <a:ext uri="{FF2B5EF4-FFF2-40B4-BE49-F238E27FC236}">
              <a16:creationId xmlns:a16="http://schemas.microsoft.com/office/drawing/2014/main" id="{3BFE6986-677C-4372-96DC-5FC45F8949F1}"/>
            </a:ext>
          </a:extLst>
        </xdr:cNvPr>
        <xdr:cNvSpPr/>
      </xdr:nvSpPr>
      <xdr:spPr>
        <a:xfrm>
          <a:off x="4597400" y="2082800"/>
          <a:ext cx="1435100" cy="1504950"/>
        </a:xfrm>
        <a:prstGeom prst="ellipse">
          <a:avLst/>
        </a:prstGeom>
        <a:gradFill flip="none" rotWithShape="1">
          <a:gsLst>
            <a:gs pos="52000">
              <a:schemeClr val="accent1">
                <a:lumMod val="5000"/>
                <a:lumOff val="95000"/>
              </a:schemeClr>
            </a:gs>
            <a:gs pos="74000">
              <a:schemeClr val="accent1">
                <a:lumMod val="20000"/>
                <a:lumOff val="80000"/>
              </a:schemeClr>
            </a:gs>
            <a:gs pos="83000">
              <a:schemeClr val="accent1">
                <a:lumMod val="45000"/>
                <a:lumOff val="55000"/>
              </a:schemeClr>
            </a:gs>
            <a:gs pos="100000">
              <a:schemeClr val="accent1">
                <a:lumMod val="30000"/>
                <a:lumOff val="70000"/>
              </a:schemeClr>
            </a:gs>
          </a:gsLst>
          <a:path path="circl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225594</xdr:colOff>
      <xdr:row>13</xdr:row>
      <xdr:rowOff>85606</xdr:rowOff>
    </xdr:from>
    <xdr:to>
      <xdr:col>9</xdr:col>
      <xdr:colOff>111395</xdr:colOff>
      <xdr:row>18</xdr:row>
      <xdr:rowOff>142069</xdr:rowOff>
    </xdr:to>
    <mc:AlternateContent xmlns:mc="http://schemas.openxmlformats.org/markup-compatibility/2006">
      <mc:Choice xmlns:am3d="http://schemas.microsoft.com/office/drawing/2017/model3d" Requires="am3d">
        <xdr:graphicFrame macro="">
          <xdr:nvGraphicFramePr>
            <xdr:cNvPr id="2" name="3D-Modell 1" descr="Xbox One S">
              <a:extLst>
                <a:ext uri="{FF2B5EF4-FFF2-40B4-BE49-F238E27FC236}">
                  <a16:creationId xmlns:a16="http://schemas.microsoft.com/office/drawing/2014/main" id="{73C8F06E-C692-4236-8BD3-7403E6DCFA5C}"/>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
                <am3d:spPr>
                  <a:xfrm>
                    <a:off x="0" y="0"/>
                    <a:ext cx="670661" cy="970863"/>
                  </a:xfrm>
                  <a:prstGeom prst="rect">
                    <a:avLst/>
                  </a:prstGeom>
                </am3d:spPr>
                <am3d:camera>
                  <am3d:pos x="0" y="0" z="60272811"/>
                  <am3d:up dx="0" dy="36000000" dz="0"/>
                  <am3d:lookAt x="0" y="0" z="0"/>
                  <am3d:perspective fov="2700000"/>
                </am3d:camera>
                <am3d:trans>
                  <am3d:meterPerModelUnit n="3240062" d="1000000"/>
                  <am3d:preTrans dx="0" dy="-18000000" dz="0"/>
                  <am3d:scale>
                    <am3d:sx n="1000000" d="1000000"/>
                    <am3d:sy n="1000000" d="1000000"/>
                    <am3d:sz n="1000000" d="1000000"/>
                  </am3d:scale>
                  <am3d:rot ax="1227060" ay="-2616766" az="-865513"/>
                  <am3d:postTrans dx="0" dy="0" dz="0"/>
                </am3d:trans>
                <am3d:raster rName="Office3DRenderer" rVer="16.0.8326">
                  <am3d:blip r:embed="rId2"/>
                </am3d:raster>
                <am3d:objViewport viewportSz="1018492"/>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2" name="3D-Modell 1" descr="Xbox One S">
              <a:extLst>
                <a:ext uri="{FF2B5EF4-FFF2-40B4-BE49-F238E27FC236}">
                  <a16:creationId xmlns:a16="http://schemas.microsoft.com/office/drawing/2014/main" id="{73C8F06E-C692-4236-8BD3-7403E6DCFA5C}"/>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2"/>
            <a:stretch>
              <a:fillRect/>
            </a:stretch>
          </xdr:blipFill>
          <xdr:spPr>
            <a:xfrm>
              <a:off x="5223044" y="2409706"/>
              <a:ext cx="673201" cy="977213"/>
            </a:xfrm>
            <a:prstGeom prst="rect">
              <a:avLst/>
            </a:prstGeom>
          </xdr:spPr>
        </xdr:pic>
      </mc:Fallback>
    </mc:AlternateContent>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D35E-A50F-466D-8C69-FB698E11D79E}">
  <dimension ref="A1:L35"/>
  <sheetViews>
    <sheetView tabSelected="1" zoomScale="120" zoomScaleNormal="120" workbookViewId="0">
      <selection activeCell="F2" sqref="F2"/>
    </sheetView>
  </sheetViews>
  <sheetFormatPr baseColWidth="10" defaultColWidth="11.44140625" defaultRowHeight="14.4" x14ac:dyDescent="0.3"/>
  <cols>
    <col min="1" max="1" width="11.44140625" style="3"/>
    <col min="2" max="2" width="11.6640625" style="3" customWidth="1"/>
    <col min="3" max="5" width="11.44140625" style="3"/>
    <col min="6" max="6" width="16.33203125" style="3" customWidth="1"/>
    <col min="7" max="16384" width="11.44140625" style="3"/>
  </cols>
  <sheetData>
    <row r="1" spans="1:12" x14ac:dyDescent="0.3">
      <c r="A1" s="23"/>
      <c r="B1" s="23"/>
      <c r="C1" s="23"/>
      <c r="D1" s="23"/>
      <c r="E1" s="23"/>
      <c r="F1" s="23"/>
      <c r="G1" s="23"/>
      <c r="H1" s="23"/>
      <c r="I1" s="23"/>
      <c r="J1" s="23"/>
      <c r="K1" s="23"/>
      <c r="L1" s="24"/>
    </row>
    <row r="2" spans="1:12" x14ac:dyDescent="0.3">
      <c r="A2" s="23"/>
      <c r="B2" s="25" t="s">
        <v>9</v>
      </c>
      <c r="C2" s="26" t="s">
        <v>22</v>
      </c>
      <c r="D2" s="27"/>
      <c r="E2" s="27"/>
      <c r="F2" s="28" t="s">
        <v>165</v>
      </c>
      <c r="G2" s="29"/>
      <c r="H2" s="29" t="s">
        <v>10</v>
      </c>
      <c r="I2" s="23"/>
      <c r="J2" s="23"/>
      <c r="K2" s="23"/>
      <c r="L2" s="24"/>
    </row>
    <row r="3" spans="1:12" x14ac:dyDescent="0.3">
      <c r="A3" s="23"/>
      <c r="B3" s="23"/>
      <c r="C3" s="30"/>
      <c r="D3" s="31"/>
      <c r="E3" s="31"/>
      <c r="F3" s="31"/>
      <c r="G3" s="31"/>
      <c r="H3" s="31"/>
      <c r="I3" s="23"/>
      <c r="J3" s="23"/>
      <c r="K3" s="23"/>
      <c r="L3" s="24"/>
    </row>
    <row r="4" spans="1:12" x14ac:dyDescent="0.3">
      <c r="A4" s="32"/>
      <c r="B4" s="32"/>
      <c r="C4" s="33"/>
      <c r="D4" s="34"/>
      <c r="E4" s="32"/>
      <c r="F4" s="32"/>
      <c r="G4" s="32"/>
      <c r="H4" s="32"/>
      <c r="I4" s="32"/>
      <c r="J4" s="32"/>
      <c r="K4" s="32"/>
    </row>
    <row r="5" spans="1:12" x14ac:dyDescent="0.3">
      <c r="A5" s="35"/>
      <c r="B5" s="35"/>
      <c r="C5" s="36"/>
      <c r="D5" s="37"/>
      <c r="E5" s="35"/>
      <c r="F5" s="35"/>
      <c r="G5" s="35"/>
      <c r="H5" s="35"/>
      <c r="I5" s="35"/>
      <c r="J5" s="35"/>
      <c r="K5" s="35"/>
      <c r="L5" s="13"/>
    </row>
    <row r="6" spans="1:12" x14ac:dyDescent="0.3">
      <c r="A6" s="35"/>
      <c r="B6" s="35"/>
      <c r="C6" s="36"/>
      <c r="D6" s="37"/>
      <c r="E6" s="35"/>
      <c r="F6" s="35"/>
      <c r="G6" s="35"/>
      <c r="H6" s="35"/>
      <c r="I6" s="35"/>
      <c r="J6" s="35"/>
      <c r="K6" s="35"/>
      <c r="L6" s="13"/>
    </row>
    <row r="7" spans="1:12" x14ac:dyDescent="0.3">
      <c r="A7" s="35"/>
      <c r="B7" s="35" t="s">
        <v>23</v>
      </c>
      <c r="C7" s="38"/>
      <c r="D7" s="37"/>
      <c r="E7" s="35"/>
      <c r="F7" s="35"/>
      <c r="G7" s="38"/>
      <c r="H7" s="37"/>
      <c r="I7" s="35"/>
      <c r="J7" s="35"/>
      <c r="K7" s="35"/>
      <c r="L7" s="13"/>
    </row>
    <row r="8" spans="1:12" x14ac:dyDescent="0.3">
      <c r="A8" s="35"/>
      <c r="B8" s="35" t="s">
        <v>24</v>
      </c>
      <c r="C8" s="36"/>
      <c r="D8" s="37"/>
      <c r="E8" s="35"/>
      <c r="F8" s="35"/>
      <c r="G8" s="39"/>
      <c r="H8" s="40"/>
      <c r="I8" s="35"/>
      <c r="J8" s="35"/>
      <c r="K8" s="35"/>
      <c r="L8" s="13"/>
    </row>
    <row r="9" spans="1:12" x14ac:dyDescent="0.3">
      <c r="A9" s="35"/>
      <c r="B9" s="35" t="s">
        <v>25</v>
      </c>
      <c r="C9" s="36"/>
      <c r="D9" s="37"/>
      <c r="E9" s="35"/>
      <c r="F9" s="35"/>
      <c r="G9" s="39"/>
      <c r="H9" s="40"/>
      <c r="I9" s="35"/>
      <c r="J9" s="35"/>
      <c r="K9" s="35"/>
      <c r="L9" s="13"/>
    </row>
    <row r="10" spans="1:12" x14ac:dyDescent="0.3">
      <c r="A10" s="35"/>
      <c r="B10" s="13"/>
      <c r="C10" s="13"/>
      <c r="D10" s="13"/>
      <c r="E10" s="13"/>
      <c r="F10" s="13"/>
      <c r="G10" s="13"/>
      <c r="H10" s="13"/>
      <c r="I10" s="35"/>
      <c r="J10" s="35"/>
      <c r="K10" s="35"/>
      <c r="L10" s="13"/>
    </row>
    <row r="11" spans="1:12" x14ac:dyDescent="0.3">
      <c r="A11" s="35"/>
      <c r="B11" s="41" t="s">
        <v>26</v>
      </c>
      <c r="C11" s="39"/>
      <c r="D11" s="37"/>
      <c r="E11" s="35"/>
      <c r="F11" s="35"/>
      <c r="G11" s="35"/>
      <c r="H11" s="35"/>
      <c r="I11" s="35"/>
      <c r="J11" s="35"/>
      <c r="K11" s="35"/>
      <c r="L11" s="13"/>
    </row>
    <row r="12" spans="1:12" x14ac:dyDescent="0.3">
      <c r="A12" s="35"/>
      <c r="B12" s="41" t="s">
        <v>27</v>
      </c>
      <c r="C12" s="39"/>
      <c r="D12" s="37"/>
      <c r="E12" s="35"/>
      <c r="F12" s="35"/>
      <c r="G12" s="35"/>
      <c r="H12" s="35"/>
      <c r="I12" s="35"/>
      <c r="J12" s="35"/>
      <c r="K12" s="35"/>
      <c r="L12" s="13"/>
    </row>
    <row r="13" spans="1:12" x14ac:dyDescent="0.3">
      <c r="A13" s="35"/>
      <c r="B13" s="41" t="s">
        <v>28</v>
      </c>
      <c r="C13" s="38"/>
      <c r="D13" s="37"/>
      <c r="E13" s="35"/>
      <c r="F13" s="35"/>
      <c r="G13" s="38"/>
      <c r="H13" s="37"/>
      <c r="I13" s="35"/>
      <c r="J13" s="35"/>
      <c r="K13" s="35"/>
      <c r="L13" s="13"/>
    </row>
    <row r="14" spans="1:12" x14ac:dyDescent="0.3">
      <c r="A14" s="35"/>
      <c r="B14" s="41" t="s">
        <v>29</v>
      </c>
      <c r="C14" s="36"/>
      <c r="D14" s="42"/>
      <c r="E14" s="43"/>
      <c r="F14" s="35"/>
      <c r="G14" s="39"/>
      <c r="H14" s="37"/>
      <c r="I14" s="35"/>
      <c r="J14" s="35"/>
      <c r="K14" s="35"/>
      <c r="L14" s="13"/>
    </row>
    <row r="15" spans="1:12" x14ac:dyDescent="0.3">
      <c r="A15" s="35"/>
      <c r="B15" s="41" t="s">
        <v>30</v>
      </c>
      <c r="C15" s="36"/>
      <c r="D15" s="37"/>
      <c r="E15" s="43"/>
      <c r="F15" s="35"/>
      <c r="G15" s="39"/>
      <c r="H15" s="37"/>
      <c r="I15" s="35"/>
      <c r="J15" s="35"/>
      <c r="K15" s="35"/>
      <c r="L15" s="13"/>
    </row>
    <row r="16" spans="1:12" x14ac:dyDescent="0.3">
      <c r="A16" s="35"/>
      <c r="B16" s="35"/>
      <c r="C16" s="36"/>
      <c r="D16" s="37"/>
      <c r="E16" s="43"/>
      <c r="F16" s="35"/>
      <c r="G16" s="39"/>
      <c r="H16" s="44"/>
      <c r="I16" s="35"/>
      <c r="J16" s="35"/>
      <c r="K16" s="35"/>
      <c r="L16" s="13"/>
    </row>
    <row r="17" spans="1:12" x14ac:dyDescent="0.3">
      <c r="A17" s="35"/>
      <c r="B17" s="41" t="s">
        <v>31</v>
      </c>
      <c r="C17" s="36"/>
      <c r="D17" s="35"/>
      <c r="E17" s="43"/>
      <c r="F17" s="35"/>
      <c r="G17" s="39"/>
      <c r="H17" s="40"/>
      <c r="I17" s="35"/>
      <c r="J17" s="35"/>
      <c r="K17" s="35"/>
      <c r="L17" s="13"/>
    </row>
    <row r="18" spans="1:12" x14ac:dyDescent="0.3">
      <c r="A18" s="35"/>
      <c r="B18" s="41" t="s">
        <v>32</v>
      </c>
      <c r="C18" s="45"/>
      <c r="D18" s="46"/>
      <c r="E18" s="47"/>
      <c r="F18" s="41"/>
      <c r="G18" s="41"/>
      <c r="H18" s="35"/>
      <c r="I18" s="35"/>
      <c r="J18" s="35"/>
      <c r="K18" s="35"/>
      <c r="L18" s="13"/>
    </row>
    <row r="19" spans="1:12" x14ac:dyDescent="0.3">
      <c r="A19" s="35"/>
      <c r="B19" s="41" t="s">
        <v>33</v>
      </c>
      <c r="C19" s="45"/>
      <c r="D19" s="46"/>
      <c r="E19" s="41"/>
      <c r="F19" s="41"/>
      <c r="G19" s="41"/>
      <c r="H19" s="35"/>
      <c r="I19" s="35"/>
      <c r="J19" s="35"/>
      <c r="K19" s="35"/>
      <c r="L19" s="13"/>
    </row>
    <row r="20" spans="1:12" x14ac:dyDescent="0.3">
      <c r="A20" s="35"/>
      <c r="B20" s="35"/>
      <c r="C20" s="38"/>
      <c r="D20" s="37"/>
      <c r="E20" s="35"/>
      <c r="F20" s="35"/>
      <c r="G20" s="38"/>
      <c r="H20" s="35"/>
      <c r="I20" s="35"/>
      <c r="J20" s="35"/>
      <c r="K20" s="35"/>
      <c r="L20" s="13"/>
    </row>
    <row r="21" spans="1:12" x14ac:dyDescent="0.3">
      <c r="A21" s="32"/>
      <c r="B21" s="32"/>
      <c r="C21" s="48"/>
      <c r="D21" s="34"/>
      <c r="E21" s="32"/>
      <c r="F21" s="32"/>
      <c r="G21" s="49"/>
      <c r="H21" s="50"/>
      <c r="I21" s="32"/>
      <c r="J21" s="32"/>
      <c r="K21" s="32"/>
    </row>
    <row r="22" spans="1:12" x14ac:dyDescent="0.3">
      <c r="A22" s="32"/>
      <c r="B22" s="32"/>
      <c r="C22" s="48"/>
      <c r="D22" s="51"/>
      <c r="E22" s="32"/>
      <c r="F22" s="32"/>
      <c r="G22" s="49"/>
      <c r="H22" s="52"/>
      <c r="I22" s="32"/>
      <c r="J22" s="32"/>
      <c r="K22" s="32"/>
    </row>
    <row r="23" spans="1:12" x14ac:dyDescent="0.3">
      <c r="A23" s="32"/>
      <c r="B23" s="32"/>
      <c r="C23" s="49"/>
      <c r="D23" s="34"/>
      <c r="E23" s="32"/>
      <c r="F23" s="32"/>
      <c r="G23" s="32"/>
      <c r="H23" s="32"/>
      <c r="I23" s="32"/>
      <c r="J23" s="32"/>
      <c r="K23" s="32"/>
    </row>
    <row r="24" spans="1:12" x14ac:dyDescent="0.3">
      <c r="A24" s="32"/>
      <c r="B24" s="32"/>
      <c r="C24" s="49"/>
      <c r="D24" s="34"/>
      <c r="E24" s="32"/>
      <c r="F24" s="32"/>
      <c r="G24" s="49"/>
      <c r="H24" s="53"/>
      <c r="I24" s="32"/>
      <c r="J24" s="32"/>
      <c r="K24" s="32"/>
    </row>
    <row r="25" spans="1:12" x14ac:dyDescent="0.3">
      <c r="A25" s="32"/>
      <c r="B25" s="32"/>
      <c r="C25" s="32"/>
      <c r="D25" s="32"/>
      <c r="E25" s="32"/>
      <c r="F25" s="32"/>
      <c r="G25" s="32"/>
      <c r="H25" s="32"/>
      <c r="I25" s="32"/>
      <c r="J25" s="32"/>
      <c r="K25" s="32"/>
    </row>
    <row r="26" spans="1:12" x14ac:dyDescent="0.3">
      <c r="A26" s="32"/>
      <c r="B26" s="32"/>
      <c r="C26" s="32"/>
      <c r="D26" s="32"/>
      <c r="E26" s="32"/>
      <c r="F26" s="32"/>
      <c r="G26" s="32"/>
      <c r="H26" s="32"/>
      <c r="I26" s="32"/>
      <c r="J26" s="32"/>
      <c r="K26" s="32"/>
    </row>
    <row r="27" spans="1:12" x14ac:dyDescent="0.3">
      <c r="A27" s="32"/>
      <c r="B27" s="32"/>
      <c r="C27" s="32"/>
      <c r="D27" s="32"/>
      <c r="E27" s="32"/>
      <c r="F27" s="32"/>
      <c r="G27" s="32"/>
      <c r="H27" s="32"/>
      <c r="I27" s="32"/>
      <c r="J27" s="32"/>
      <c r="K27" s="32"/>
    </row>
    <row r="28" spans="1:12" x14ac:dyDescent="0.3">
      <c r="A28" s="32"/>
      <c r="B28" s="32"/>
      <c r="C28" s="32"/>
      <c r="D28" s="32"/>
      <c r="E28" s="32"/>
      <c r="F28" s="32"/>
      <c r="G28" s="32"/>
      <c r="H28" s="32"/>
      <c r="I28" s="32"/>
      <c r="J28" s="32"/>
      <c r="K28" s="32"/>
    </row>
    <row r="29" spans="1:12" x14ac:dyDescent="0.3">
      <c r="A29" s="32"/>
      <c r="B29" s="32"/>
      <c r="C29" s="32"/>
      <c r="D29" s="32"/>
      <c r="E29" s="32"/>
      <c r="F29" s="32"/>
      <c r="G29" s="32"/>
      <c r="H29" s="32"/>
      <c r="I29" s="32"/>
      <c r="J29" s="32"/>
      <c r="K29" s="32"/>
    </row>
    <row r="30" spans="1:12" x14ac:dyDescent="0.3">
      <c r="A30" s="32"/>
      <c r="B30" s="32"/>
      <c r="C30" s="32"/>
      <c r="D30" s="32"/>
      <c r="E30" s="32"/>
      <c r="F30" s="32"/>
      <c r="G30" s="32"/>
      <c r="H30" s="32"/>
      <c r="I30" s="32"/>
      <c r="J30" s="32"/>
      <c r="K30" s="32"/>
    </row>
    <row r="31" spans="1:12" x14ac:dyDescent="0.3">
      <c r="A31" s="32"/>
      <c r="B31" s="32"/>
      <c r="C31" s="32"/>
      <c r="D31" s="32"/>
      <c r="E31" s="32"/>
      <c r="F31" s="32"/>
      <c r="G31" s="32"/>
      <c r="H31" s="32"/>
      <c r="I31" s="32"/>
      <c r="J31" s="32"/>
      <c r="K31" s="32"/>
    </row>
    <row r="32" spans="1:12" x14ac:dyDescent="0.3">
      <c r="A32" s="32"/>
      <c r="B32" s="32"/>
      <c r="C32" s="32"/>
      <c r="D32" s="32"/>
      <c r="E32" s="32"/>
      <c r="F32" s="32"/>
      <c r="G32" s="32"/>
      <c r="H32" s="32"/>
      <c r="I32" s="32"/>
      <c r="J32" s="32"/>
      <c r="K32" s="32"/>
    </row>
    <row r="33" spans="1:11" x14ac:dyDescent="0.3">
      <c r="A33" s="32"/>
      <c r="B33" s="32"/>
      <c r="C33" s="32"/>
      <c r="D33" s="32"/>
      <c r="E33" s="32"/>
      <c r="F33" s="32"/>
      <c r="G33" s="32"/>
      <c r="H33" s="32"/>
      <c r="I33" s="32"/>
      <c r="J33" s="32"/>
      <c r="K33" s="32"/>
    </row>
    <row r="34" spans="1:11" x14ac:dyDescent="0.3">
      <c r="A34" s="32"/>
      <c r="B34" s="32"/>
      <c r="C34" s="32"/>
      <c r="D34" s="32"/>
      <c r="E34" s="32"/>
      <c r="F34" s="32"/>
      <c r="G34" s="32"/>
      <c r="H34" s="32"/>
      <c r="I34" s="32"/>
      <c r="J34" s="32"/>
      <c r="K34" s="32"/>
    </row>
    <row r="35" spans="1:11" x14ac:dyDescent="0.3">
      <c r="A35" s="32"/>
      <c r="B35" s="32"/>
      <c r="C35" s="32"/>
      <c r="D35" s="32"/>
      <c r="E35" s="32"/>
      <c r="F35" s="32"/>
      <c r="G35" s="32"/>
      <c r="H35" s="32"/>
      <c r="I35" s="32"/>
      <c r="J35" s="32"/>
      <c r="K35" s="32"/>
    </row>
  </sheetData>
  <sheetProtection algorithmName="SHA-512" hashValue="wcLDyr7FXiXcCGw55/3Ep5BD2vSyx8mHLi2pfj+h1drzqelnLG2ydnAu2NRXhJOmw5GssbqGYqPeyfeGRC0xzQ==" saltValue="tGpblqxh3c+6neR1Tnv00w==" spinCount="100000" sheet="1" objects="1" scenarios="1"/>
  <pageMargins left="0.7" right="0.7" top="0.78740157499999996" bottom="0.78740157499999996" header="0.3" footer="0.3"/>
  <pageSetup paperSize="9" orientation="portrait" r:id="rId1"/>
  <headerFooter>
    <oddFooter>&amp;L&amp;1#&amp;"Calibri"&amp;10&amp;K000000[internal]</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EED9F-A8AB-43B7-826D-AB306DCE3821}">
  <dimension ref="A1:W23"/>
  <sheetViews>
    <sheetView zoomScale="110" zoomScaleNormal="110" workbookViewId="0">
      <selection activeCell="C20" sqref="C20"/>
    </sheetView>
  </sheetViews>
  <sheetFormatPr baseColWidth="10" defaultColWidth="11.44140625" defaultRowHeight="14.4" x14ac:dyDescent="0.3"/>
  <cols>
    <col min="1" max="1" width="0.6640625" style="3" customWidth="1"/>
    <col min="2" max="2" width="18.6640625" style="3" customWidth="1"/>
    <col min="3" max="3" width="17.5546875" style="3" customWidth="1"/>
    <col min="4" max="4" width="4.33203125" style="3" customWidth="1"/>
    <col min="5" max="5" width="0.6640625" style="3" customWidth="1"/>
    <col min="6" max="6" width="12.6640625" style="3" customWidth="1"/>
    <col min="7" max="7" width="18.33203125" style="3" customWidth="1"/>
    <col min="8" max="8" width="6.109375" style="3" customWidth="1"/>
    <col min="9" max="9" width="2.5546875" style="3" customWidth="1"/>
    <col min="10" max="10" width="0.6640625" style="3" customWidth="1"/>
    <col min="11" max="11" width="16.5546875" style="3" customWidth="1"/>
    <col min="12" max="12" width="17.109375" style="3" customWidth="1"/>
    <col min="13" max="13" width="4.88671875" style="3" customWidth="1"/>
    <col min="14" max="14" width="0.6640625" style="3" customWidth="1"/>
    <col min="15" max="15" width="4.6640625" style="3" customWidth="1"/>
    <col min="16" max="16" width="6.33203125" style="3" customWidth="1"/>
    <col min="17" max="17" width="4.6640625" style="3" customWidth="1"/>
    <col min="18" max="18" width="0.6640625" style="3" customWidth="1"/>
    <col min="19" max="19" width="22.44140625" style="3" customWidth="1"/>
    <col min="20" max="20" width="8.6640625" style="3" customWidth="1"/>
    <col min="21" max="21" width="13.6640625" style="3" customWidth="1"/>
    <col min="22" max="23" width="10.88671875" style="3" hidden="1" customWidth="1"/>
    <col min="24" max="25" width="0" style="3" hidden="1" customWidth="1"/>
    <col min="26" max="16384" width="11.44140625" style="3"/>
  </cols>
  <sheetData>
    <row r="1" spans="1:23" x14ac:dyDescent="0.3">
      <c r="A1" s="2"/>
      <c r="B1" s="2"/>
      <c r="C1" s="2"/>
      <c r="D1" s="2"/>
      <c r="E1" s="2"/>
      <c r="F1" s="2"/>
      <c r="G1" s="2"/>
      <c r="H1" s="2"/>
      <c r="I1" s="2"/>
      <c r="J1" s="2"/>
      <c r="K1" s="2"/>
      <c r="L1" s="2"/>
      <c r="M1" s="2"/>
      <c r="N1" s="2"/>
      <c r="O1" s="2"/>
      <c r="P1" s="12"/>
      <c r="Q1" s="12"/>
      <c r="R1" s="12"/>
      <c r="S1" s="12"/>
      <c r="T1" s="12"/>
      <c r="U1" s="12"/>
    </row>
    <row r="2" spans="1:23" x14ac:dyDescent="0.3">
      <c r="A2" s="2"/>
      <c r="B2" s="1" t="s">
        <v>22</v>
      </c>
      <c r="C2" s="2"/>
      <c r="D2" s="2"/>
      <c r="E2" s="12"/>
      <c r="F2" s="2"/>
      <c r="G2" s="2"/>
      <c r="H2" s="2"/>
      <c r="I2" s="2"/>
      <c r="J2" s="2"/>
      <c r="K2" s="2" t="s">
        <v>165</v>
      </c>
      <c r="L2" s="2" t="s">
        <v>10</v>
      </c>
      <c r="M2" s="2"/>
      <c r="N2" s="2"/>
      <c r="O2" s="2"/>
      <c r="P2" s="12"/>
      <c r="Q2" s="12"/>
      <c r="R2" s="12"/>
      <c r="S2" s="12"/>
      <c r="T2" s="12"/>
      <c r="U2" s="12"/>
    </row>
    <row r="3" spans="1:23" x14ac:dyDescent="0.3">
      <c r="A3" s="2"/>
      <c r="B3" s="2"/>
      <c r="C3" s="2"/>
      <c r="D3" s="2"/>
      <c r="E3" s="2"/>
      <c r="F3" s="2"/>
      <c r="G3" s="2"/>
      <c r="H3" s="2"/>
      <c r="I3" s="2"/>
      <c r="J3" s="2"/>
      <c r="K3" s="2"/>
      <c r="L3" s="2"/>
      <c r="M3" s="2"/>
      <c r="N3" s="2"/>
      <c r="O3" s="2"/>
      <c r="P3" s="12"/>
      <c r="Q3" s="12"/>
      <c r="R3" s="12"/>
      <c r="S3" s="12"/>
      <c r="T3" s="12"/>
      <c r="U3" s="12"/>
    </row>
    <row r="4" spans="1:23" ht="15" thickBot="1" x14ac:dyDescent="0.35">
      <c r="M4" s="11"/>
    </row>
    <row r="5" spans="1:23" x14ac:dyDescent="0.3">
      <c r="B5" s="14" t="s">
        <v>42</v>
      </c>
      <c r="C5" s="13"/>
      <c r="D5" s="13"/>
      <c r="F5" s="14" t="s">
        <v>0</v>
      </c>
      <c r="G5" s="13"/>
      <c r="H5" s="13"/>
      <c r="I5" s="13"/>
      <c r="K5" s="14" t="s">
        <v>53</v>
      </c>
      <c r="L5" s="13"/>
      <c r="M5" s="13"/>
      <c r="N5" s="11"/>
      <c r="O5" s="96" t="s">
        <v>63</v>
      </c>
      <c r="P5" s="97"/>
      <c r="Q5" s="98"/>
      <c r="S5" s="54" t="s">
        <v>64</v>
      </c>
      <c r="T5" s="55"/>
      <c r="U5" s="56"/>
      <c r="V5" s="11"/>
      <c r="W5" s="11"/>
    </row>
    <row r="6" spans="1:23" x14ac:dyDescent="0.3">
      <c r="B6" s="5" t="s">
        <v>34</v>
      </c>
      <c r="C6" s="89" t="s">
        <v>89</v>
      </c>
      <c r="D6" s="57">
        <f>INDEX(Settings!$B$3:$C$13,MATCH(C6,Settings!$B$3:$B$13,0),2)*MAX(D7/10,1,D7/10)</f>
        <v>10</v>
      </c>
      <c r="F6" s="5" t="s">
        <v>45</v>
      </c>
      <c r="G6" s="91"/>
      <c r="H6" s="5" t="s">
        <v>4</v>
      </c>
      <c r="I6" s="5"/>
      <c r="K6" s="5" t="s">
        <v>54</v>
      </c>
      <c r="L6" s="92" t="s">
        <v>168</v>
      </c>
      <c r="M6" s="58" t="s">
        <v>55</v>
      </c>
      <c r="N6" s="11"/>
      <c r="O6" s="59"/>
      <c r="P6" s="60" t="s">
        <v>62</v>
      </c>
      <c r="Q6" s="61"/>
      <c r="S6" s="59" t="s">
        <v>66</v>
      </c>
      <c r="T6" s="62">
        <f>D6*D8</f>
        <v>10</v>
      </c>
      <c r="U6" s="61" t="s">
        <v>67</v>
      </c>
      <c r="V6" s="11"/>
      <c r="W6" s="11"/>
    </row>
    <row r="7" spans="1:23" x14ac:dyDescent="0.3">
      <c r="B7" s="5" t="s">
        <v>35</v>
      </c>
      <c r="C7" s="89" t="s">
        <v>100</v>
      </c>
      <c r="D7" s="57">
        <f>INDEX(Settings!$E$3:$F$6,MATCH(C7,Settings!$E$3:$E$6,0),2)</f>
        <v>8</v>
      </c>
      <c r="F7" s="5" t="s">
        <v>46</v>
      </c>
      <c r="G7" s="91"/>
      <c r="H7" s="5" t="s">
        <v>3</v>
      </c>
      <c r="I7" s="5"/>
      <c r="K7" s="5" t="s">
        <v>56</v>
      </c>
      <c r="L7" s="93" t="s">
        <v>104</v>
      </c>
      <c r="M7" s="57">
        <f>INDEX(Settings!$N$3:$O$6,MATCH(L7,Settings!$N$3:$N$6,0),2)</f>
        <v>0</v>
      </c>
      <c r="N7" s="11"/>
      <c r="O7" s="63" t="e">
        <f>IF(T13&gt;80,"-","")</f>
        <v>#DIV/0!</v>
      </c>
      <c r="P7" s="64"/>
      <c r="Q7" s="65" t="e">
        <f>O7</f>
        <v>#DIV/0!</v>
      </c>
      <c r="S7" s="59" t="s">
        <v>71</v>
      </c>
      <c r="T7" s="62">
        <f>H14+H17+T9+IF(NOT(ISBLANK(L7)),L11,0)+IF(NOT(ISBLANK(L12)),L16,0)+IF(NOT(ISBLANK(L17)),L21,0)+0.3</f>
        <v>1.22</v>
      </c>
      <c r="U7" s="61" t="s">
        <v>5</v>
      </c>
      <c r="V7" s="11"/>
      <c r="W7" s="11"/>
    </row>
    <row r="8" spans="1:23" x14ac:dyDescent="0.3">
      <c r="B8" s="5" t="s">
        <v>36</v>
      </c>
      <c r="C8" s="89" t="s">
        <v>104</v>
      </c>
      <c r="D8" s="57">
        <f>INDEX(Settings!$H$3:$L$23,MATCH(C8,Settings!$H$3:$H$23,0),4)</f>
        <v>1</v>
      </c>
      <c r="F8" s="5"/>
      <c r="G8" s="5"/>
      <c r="H8" s="5"/>
      <c r="I8" s="5"/>
      <c r="K8" s="5" t="s">
        <v>58</v>
      </c>
      <c r="L8" s="94">
        <v>1</v>
      </c>
      <c r="M8" s="5" t="s">
        <v>2</v>
      </c>
      <c r="N8" s="11"/>
      <c r="O8" s="66" t="e">
        <f>IF(AND(T13&gt;70,T13&lt;=80),"-"," ")</f>
        <v>#DIV/0!</v>
      </c>
      <c r="P8" s="64"/>
      <c r="Q8" s="65" t="e">
        <f t="shared" ref="Q8:Q19" si="0">O8</f>
        <v>#DIV/0!</v>
      </c>
      <c r="S8" s="67" t="s">
        <v>8</v>
      </c>
      <c r="T8" s="62">
        <f>T7*G9/60</f>
        <v>0</v>
      </c>
      <c r="U8" s="61" t="s">
        <v>7</v>
      </c>
      <c r="V8" s="11"/>
      <c r="W8" s="11"/>
    </row>
    <row r="9" spans="1:23" x14ac:dyDescent="0.3">
      <c r="B9" s="5" t="s">
        <v>37</v>
      </c>
      <c r="C9" s="5"/>
      <c r="D9" s="5"/>
      <c r="F9" s="5" t="s">
        <v>47</v>
      </c>
      <c r="G9" s="68">
        <f>G6*G7</f>
        <v>0</v>
      </c>
      <c r="H9" s="5" t="s">
        <v>1</v>
      </c>
      <c r="I9" s="57" t="e">
        <f>INDEX(Settings!$N$7:$O$14,MATCH(#REF!,Settings!$N$7:$N$14,0),2)</f>
        <v>#REF!</v>
      </c>
      <c r="K9" s="5" t="s">
        <v>57</v>
      </c>
      <c r="L9" s="94">
        <v>1</v>
      </c>
      <c r="M9" s="5" t="s">
        <v>2</v>
      </c>
      <c r="N9" s="11"/>
      <c r="O9" s="66" t="e">
        <f>IF(AND(T13&gt;60,T13&lt;=70),"-"," ")</f>
        <v>#DIV/0!</v>
      </c>
      <c r="P9" s="64"/>
      <c r="Q9" s="65" t="e">
        <f t="shared" si="0"/>
        <v>#DIV/0!</v>
      </c>
      <c r="S9" s="69" t="s">
        <v>72</v>
      </c>
      <c r="T9" s="70">
        <f>Settings!R8+Settings!R9</f>
        <v>0.91999999999999993</v>
      </c>
      <c r="U9" s="61" t="s">
        <v>5</v>
      </c>
      <c r="V9" s="11"/>
      <c r="W9" s="11"/>
    </row>
    <row r="10" spans="1:23" x14ac:dyDescent="0.3">
      <c r="B10" s="5" t="s">
        <v>38</v>
      </c>
      <c r="C10" s="89">
        <v>0</v>
      </c>
      <c r="D10" s="5" t="s">
        <v>2</v>
      </c>
      <c r="F10" s="5"/>
      <c r="G10" s="5"/>
      <c r="H10" s="5"/>
      <c r="I10" s="5"/>
      <c r="K10" s="71" t="s">
        <v>59</v>
      </c>
      <c r="L10" s="94">
        <v>1</v>
      </c>
      <c r="M10" s="71" t="s">
        <v>4</v>
      </c>
      <c r="N10" s="11"/>
      <c r="O10" s="66" t="e">
        <f>IF(AND(T13&gt;50,T13&lt;=60),"-"," ")</f>
        <v>#DIV/0!</v>
      </c>
      <c r="P10" s="72"/>
      <c r="Q10" s="65" t="e">
        <f t="shared" si="0"/>
        <v>#DIV/0!</v>
      </c>
      <c r="S10" s="59" t="s">
        <v>73</v>
      </c>
      <c r="T10" s="62" t="e">
        <f>T6/(T8)*(1-G9/(T8*(C17+C10))*(1-EXP(-T8*(C17+C10)/G9)))</f>
        <v>#DIV/0!</v>
      </c>
      <c r="U10" s="61" t="s">
        <v>68</v>
      </c>
      <c r="V10" s="11" t="e">
        <f>T6/(T8)*(1-G9/(T8*C10)*(1-EXP(-T8*C10/G9)))</f>
        <v>#DIV/0!</v>
      </c>
      <c r="W10" s="11"/>
    </row>
    <row r="11" spans="1:23" x14ac:dyDescent="0.3">
      <c r="F11" s="11"/>
      <c r="G11" s="11"/>
      <c r="H11" s="11"/>
      <c r="K11" s="5" t="s">
        <v>60</v>
      </c>
      <c r="L11" s="73">
        <f>IF(AND(NOT(ISBLANK(L7)),L9&gt;0),M7/60*L8*60/L9*IF(L6="&lt;10",1,IF(L6="10-17",0.5,0.3))*W11,0)</f>
        <v>0</v>
      </c>
      <c r="M11" s="5" t="s">
        <v>5</v>
      </c>
      <c r="N11" s="11"/>
      <c r="O11" s="66" t="e">
        <f>IF(AND(T13&gt;40,T13&lt;=50),"-"," ")</f>
        <v>#DIV/0!</v>
      </c>
      <c r="P11" s="74"/>
      <c r="Q11" s="65" t="e">
        <f t="shared" si="0"/>
        <v>#DIV/0!</v>
      </c>
      <c r="S11" s="59"/>
      <c r="T11" s="75"/>
      <c r="U11" s="61"/>
      <c r="V11" s="11"/>
      <c r="W11" s="76">
        <f>IF(L7="Windows tilted",MIN(L10*10/$G$6/0.35,1),IF(L7="One side ventilation",MIN(L10*10/$G$6/1.05,1),IF(L7="Cross ventilation",MIN(L10*10/$G$6/0.6,1),0)))</f>
        <v>0</v>
      </c>
    </row>
    <row r="12" spans="1:23" x14ac:dyDescent="0.3">
      <c r="B12" s="14" t="s">
        <v>41</v>
      </c>
      <c r="C12" s="13"/>
      <c r="D12" s="13"/>
      <c r="F12" s="14" t="s">
        <v>48</v>
      </c>
      <c r="G12" s="13"/>
      <c r="H12" s="13"/>
      <c r="I12" s="13"/>
      <c r="K12" s="5" t="s">
        <v>56</v>
      </c>
      <c r="L12" s="95" t="s">
        <v>104</v>
      </c>
      <c r="M12" s="57">
        <f>INDEX(Settings!$N$3:$O$6,MATCH(L12,Settings!$N$3:$N$6,0),2)</f>
        <v>0</v>
      </c>
      <c r="N12" s="11"/>
      <c r="O12" s="66" t="e">
        <f>IF(AND(T13&gt;30,T13&lt;=40),"-"," ")</f>
        <v>#DIV/0!</v>
      </c>
      <c r="P12" s="99"/>
      <c r="Q12" s="65" t="e">
        <f t="shared" si="0"/>
        <v>#DIV/0!</v>
      </c>
      <c r="S12" s="59" t="s">
        <v>74</v>
      </c>
      <c r="T12" s="62" t="e">
        <f>T10*D15*D7*0.001*(C17+C10)-V12</f>
        <v>#DIV/0!</v>
      </c>
      <c r="U12" s="61" t="s">
        <v>69</v>
      </c>
      <c r="V12" s="11" t="e">
        <f>T10*D15*D7*0.001*C10</f>
        <v>#DIV/0!</v>
      </c>
      <c r="W12" s="11" t="e">
        <f>T10*D15*D7*0.001*(C17+C10)</f>
        <v>#DIV/0!</v>
      </c>
    </row>
    <row r="13" spans="1:23" x14ac:dyDescent="0.3">
      <c r="B13" s="5"/>
      <c r="C13" s="5"/>
      <c r="D13" s="5"/>
      <c r="F13" s="71"/>
      <c r="G13" s="5"/>
      <c r="H13" s="71"/>
      <c r="I13" s="5"/>
      <c r="K13" s="5" t="s">
        <v>58</v>
      </c>
      <c r="L13" s="94">
        <v>1</v>
      </c>
      <c r="M13" s="5" t="s">
        <v>2</v>
      </c>
      <c r="N13" s="11"/>
      <c r="O13" s="66" t="e">
        <f>IF(AND(T13&gt;20,T13&lt;=30),"-"," ")</f>
        <v>#DIV/0!</v>
      </c>
      <c r="P13" s="99"/>
      <c r="Q13" s="65" t="e">
        <f t="shared" si="0"/>
        <v>#DIV/0!</v>
      </c>
      <c r="S13" s="59" t="s">
        <v>75</v>
      </c>
      <c r="T13" s="62" t="e">
        <f>(1-EXP(-T12/D20))*100</f>
        <v>#DIV/0!</v>
      </c>
      <c r="U13" s="61" t="s">
        <v>70</v>
      </c>
      <c r="V13" s="11"/>
      <c r="W13" s="11"/>
    </row>
    <row r="14" spans="1:23" ht="15" thickBot="1" x14ac:dyDescent="0.35">
      <c r="B14" s="5" t="s">
        <v>35</v>
      </c>
      <c r="C14" s="89" t="s">
        <v>100</v>
      </c>
      <c r="D14" s="57">
        <f>INDEX(Settings!$E$3:$F$6,MATCH(C14,Settings!$E$3:$E$6,0),2)</f>
        <v>8</v>
      </c>
      <c r="F14" s="5" t="s">
        <v>49</v>
      </c>
      <c r="G14" s="5"/>
      <c r="H14" s="89">
        <v>0</v>
      </c>
      <c r="I14" s="5" t="s">
        <v>5</v>
      </c>
      <c r="K14" s="5" t="s">
        <v>57</v>
      </c>
      <c r="L14" s="94">
        <v>1</v>
      </c>
      <c r="M14" s="5" t="s">
        <v>2</v>
      </c>
      <c r="N14" s="11"/>
      <c r="O14" s="66" t="e">
        <f>IF(AND(T13&gt;10,T13&lt;=20),"-"," ")</f>
        <v>#DIV/0!</v>
      </c>
      <c r="P14" s="99"/>
      <c r="Q14" s="65" t="e">
        <f t="shared" si="0"/>
        <v>#DIV/0!</v>
      </c>
      <c r="S14" s="59"/>
      <c r="T14" s="77"/>
      <c r="U14" s="61"/>
      <c r="V14" s="11"/>
      <c r="W14" s="11"/>
    </row>
    <row r="15" spans="1:23" x14ac:dyDescent="0.3">
      <c r="B15" s="5" t="s">
        <v>36</v>
      </c>
      <c r="C15" s="89"/>
      <c r="D15" s="57" t="e">
        <f>INDEX(Settings!$H$3:$L$23,MATCH(C15,Settings!$H$3:$H$23,0),5)</f>
        <v>#N/A</v>
      </c>
      <c r="F15" s="5"/>
      <c r="G15" s="5"/>
      <c r="H15" s="5"/>
      <c r="I15" s="5"/>
      <c r="K15" s="5" t="s">
        <v>59</v>
      </c>
      <c r="L15" s="94"/>
      <c r="M15" s="5" t="s">
        <v>4</v>
      </c>
      <c r="N15" s="11"/>
      <c r="O15" s="66" t="e">
        <f>IF(AND(T13&gt;7.5,T13&lt;=10),"-"," ")</f>
        <v>#DIV/0!</v>
      </c>
      <c r="P15" s="99"/>
      <c r="Q15" s="65" t="e">
        <f t="shared" si="0"/>
        <v>#DIV/0!</v>
      </c>
      <c r="R15" s="11"/>
      <c r="S15" s="54" t="s">
        <v>65</v>
      </c>
      <c r="T15" s="55"/>
      <c r="U15" s="56"/>
    </row>
    <row r="16" spans="1:23" x14ac:dyDescent="0.3">
      <c r="B16" s="5" t="s">
        <v>39</v>
      </c>
      <c r="C16" s="5"/>
      <c r="D16" s="5"/>
      <c r="F16" s="5" t="s">
        <v>50</v>
      </c>
      <c r="G16" s="5"/>
      <c r="H16" s="5"/>
      <c r="I16" s="5"/>
      <c r="K16" s="5" t="s">
        <v>60</v>
      </c>
      <c r="L16" s="78">
        <f>IF(AND(NOT(ISBLANK(L12)),L14&gt;0),M12/60*L13*60/L14*IF(L6="&lt;10",1,IF(L6="10-17",0.5,0.3))*W16,0)</f>
        <v>0</v>
      </c>
      <c r="M16" s="5" t="s">
        <v>5</v>
      </c>
      <c r="N16" s="11"/>
      <c r="O16" s="66" t="e">
        <f>IF(AND(T13&gt;5,T13&lt;=7.5),"-"," ")</f>
        <v>#DIV/0!</v>
      </c>
      <c r="P16" s="99"/>
      <c r="Q16" s="65" t="e">
        <f t="shared" si="0"/>
        <v>#DIV/0!</v>
      </c>
      <c r="R16" s="11"/>
      <c r="S16" s="59" t="s">
        <v>76</v>
      </c>
      <c r="T16" s="77"/>
      <c r="U16" s="61"/>
      <c r="W16" s="76">
        <f>IF(L12="Windows tilted",MIN(L15*10/G6/0.35,1),IF(L12="One side ventilation",MIN(L15*10/G6/1.05,1),IF(L12="Cross ventilation",MIN(L15*10/G6/0.6,1),0)))</f>
        <v>0</v>
      </c>
    </row>
    <row r="17" spans="2:23" x14ac:dyDescent="0.3">
      <c r="B17" s="5" t="s">
        <v>40</v>
      </c>
      <c r="C17" s="89">
        <v>0</v>
      </c>
      <c r="D17" s="5" t="s">
        <v>2</v>
      </c>
      <c r="F17" s="79" t="s">
        <v>51</v>
      </c>
      <c r="G17" s="5"/>
      <c r="H17" s="89">
        <v>0</v>
      </c>
      <c r="I17" s="5" t="s">
        <v>5</v>
      </c>
      <c r="K17" s="5" t="s">
        <v>56</v>
      </c>
      <c r="L17" s="93" t="s">
        <v>104</v>
      </c>
      <c r="M17" s="80">
        <f>INDEX(Settings!$N$3:$O$6,MATCH(L17,Settings!$N$3:$N$6,0),2)</f>
        <v>0</v>
      </c>
      <c r="N17" s="11"/>
      <c r="O17" s="66" t="e">
        <f>IF(AND(T13&gt;2.5,T13&lt;=5),"-"," ")</f>
        <v>#DIV/0!</v>
      </c>
      <c r="P17" s="99"/>
      <c r="Q17" s="65" t="e">
        <f t="shared" si="0"/>
        <v>#DIV/0!</v>
      </c>
      <c r="S17" s="59" t="s">
        <v>77</v>
      </c>
      <c r="T17" s="77"/>
      <c r="U17" s="61"/>
    </row>
    <row r="18" spans="2:23" x14ac:dyDescent="0.3">
      <c r="F18" s="5"/>
      <c r="G18" s="5"/>
      <c r="H18" s="5"/>
      <c r="I18" s="5"/>
      <c r="K18" s="5" t="s">
        <v>58</v>
      </c>
      <c r="L18" s="94">
        <v>1</v>
      </c>
      <c r="M18" s="5" t="s">
        <v>2</v>
      </c>
      <c r="O18" s="66" t="e">
        <f>IF(AND(T13&gt;0.01,T13&lt;=2.5),"-"," ")</f>
        <v>#DIV/0!</v>
      </c>
      <c r="P18" s="99"/>
      <c r="Q18" s="65" t="e">
        <f t="shared" si="0"/>
        <v>#DIV/0!</v>
      </c>
      <c r="S18" s="81" t="str">
        <f>IF(H19&gt;0,"The effect of the mobile device was not","")</f>
        <v/>
      </c>
      <c r="T18" s="77"/>
      <c r="U18" s="61"/>
    </row>
    <row r="19" spans="2:23" x14ac:dyDescent="0.3">
      <c r="B19" s="82" t="s">
        <v>43</v>
      </c>
      <c r="C19" s="13"/>
      <c r="D19" s="13"/>
      <c r="F19" s="79" t="s">
        <v>52</v>
      </c>
      <c r="G19" s="5"/>
      <c r="H19" s="89">
        <v>0</v>
      </c>
      <c r="I19" s="5" t="s">
        <v>5</v>
      </c>
      <c r="K19" s="5" t="s">
        <v>57</v>
      </c>
      <c r="L19" s="94"/>
      <c r="M19" s="5" t="s">
        <v>2</v>
      </c>
      <c r="O19" s="66" t="e">
        <f>IF(T13&lt;0.01,"-"," ")</f>
        <v>#DIV/0!</v>
      </c>
      <c r="P19" s="83"/>
      <c r="Q19" s="65" t="e">
        <f t="shared" si="0"/>
        <v>#DIV/0!</v>
      </c>
      <c r="S19" s="81" t="str">
        <f>IF(H19&gt;0,"considered in the evaluation, since a very different ","")</f>
        <v/>
      </c>
      <c r="T19" s="77"/>
      <c r="U19" s="61"/>
    </row>
    <row r="20" spans="2:23" x14ac:dyDescent="0.3">
      <c r="B20" s="5" t="s">
        <v>44</v>
      </c>
      <c r="C20" s="90" t="s">
        <v>166</v>
      </c>
      <c r="D20" s="57">
        <f>INDEX(Settings!$Q$3:$R$6,MATCH(C20,Settings!$Q$3:$Q$6,0),2)</f>
        <v>42</v>
      </c>
      <c r="F20" s="57">
        <f>(H14+H17)*G9/60</f>
        <v>0</v>
      </c>
      <c r="G20" s="57" t="s">
        <v>7</v>
      </c>
      <c r="H20" s="5"/>
      <c r="I20" s="5"/>
      <c r="K20" s="5" t="s">
        <v>59</v>
      </c>
      <c r="L20" s="94"/>
      <c r="M20" s="5" t="s">
        <v>4</v>
      </c>
      <c r="O20" s="59"/>
      <c r="P20" s="60" t="s">
        <v>61</v>
      </c>
      <c r="Q20" s="61"/>
      <c r="S20" s="81" t="str">
        <f>IF(H19&gt;0,"distribution is to be expected in the room.","")</f>
        <v/>
      </c>
      <c r="T20" s="77"/>
      <c r="U20" s="61"/>
    </row>
    <row r="21" spans="2:23" ht="15" thickBot="1" x14ac:dyDescent="0.35">
      <c r="B21" s="84"/>
      <c r="C21" s="5"/>
      <c r="D21" s="5"/>
      <c r="F21" s="5"/>
      <c r="G21" s="5"/>
      <c r="H21" s="5"/>
      <c r="I21" s="5"/>
      <c r="K21" s="5" t="s">
        <v>60</v>
      </c>
      <c r="L21" s="78">
        <f>IF(AND(NOT(ISBLANK(L17)),L19&gt;0),M17/60*L18*60/L19*IF(L6="&lt;10",1,IF(L6="10-17",0.5,0.3))*W21,0)</f>
        <v>0</v>
      </c>
      <c r="M21" s="5" t="s">
        <v>5</v>
      </c>
      <c r="O21" s="85"/>
      <c r="P21" s="86"/>
      <c r="Q21" s="87"/>
      <c r="S21" s="88" t="str">
        <f>IF(H19&gt;0,"For assesment see tab 'Mobile device'.","")</f>
        <v/>
      </c>
      <c r="T21" s="86"/>
      <c r="U21" s="87"/>
      <c r="W21" s="76">
        <f>IF(L17="Cross ventilation",MIN(L20*10/G6/0.6,1),0)</f>
        <v>0</v>
      </c>
    </row>
    <row r="22" spans="2:23" x14ac:dyDescent="0.3">
      <c r="B22" s="11"/>
      <c r="C22" s="11"/>
      <c r="D22" s="11"/>
    </row>
    <row r="23" spans="2:23" x14ac:dyDescent="0.3">
      <c r="B23" s="11"/>
      <c r="C23" s="11"/>
      <c r="D23" s="11"/>
    </row>
  </sheetData>
  <sheetProtection algorithmName="SHA-512" hashValue="SNl3noBbuKXUqx0MuxG6SFs+PPhhmfDkdfrqj0MXRCZTmFepgzhnVt3Ir9HY9SKnBfclONaCJhQJOl7zVpzXvA==" saltValue="cMd5m1eLB7bH+CaJP28dxA==" spinCount="100000" sheet="1" objects="1" scenarios="1"/>
  <mergeCells count="2">
    <mergeCell ref="O5:Q5"/>
    <mergeCell ref="P12:P18"/>
  </mergeCells>
  <conditionalFormatting sqref="O7:O19">
    <cfRule type="cellIs" dxfId="1" priority="2" operator="equal">
      <formula>"-"</formula>
    </cfRule>
  </conditionalFormatting>
  <conditionalFormatting sqref="Q7:Q19">
    <cfRule type="cellIs" dxfId="0" priority="1" operator="equal">
      <formula>"-"</formula>
    </cfRule>
  </conditionalFormatting>
  <dataValidations count="10">
    <dataValidation type="list" allowBlank="1" showInputMessage="1" showErrorMessage="1" sqref="L6" xr:uid="{DDFA980D-02F9-44B9-BD7F-159E8E180636}">
      <formula1>"&lt;10,10-17,&gt;17"</formula1>
    </dataValidation>
    <dataValidation type="custom" allowBlank="1" showInputMessage="1" showErrorMessage="1" errorTitle="Lüftungsintervall" error="Lüftungsintervall darf nicht kleiner als  Lüftungsdauer sein." sqref="L19 L14" xr:uid="{A70145D6-AFAB-410E-8C44-D4EA1221E4BC}">
      <formula1>L14&gt;=L13</formula1>
    </dataValidation>
    <dataValidation type="custom" allowBlank="1" showInputMessage="1" showErrorMessage="1" errorTitle="Ungültige Eingabe" error="Lüftungsdauer muss größer 0 sein!" sqref="L8 L18 L13" xr:uid="{4E3666F8-BA15-47D6-86AE-0B0582059C96}">
      <formula1>L8&gt;0</formula1>
    </dataValidation>
    <dataValidation type="custom" allowBlank="1" showInputMessage="1" showErrorMessage="1" errorTitle="Ungültige Eingabe" error="Lüftungsintervall darf nicht kleiner als  Lüftungsdauer sein._x000a_." sqref="L9" xr:uid="{D2AAAD87-0E9B-4D98-B962-63ECD9B0D405}">
      <formula1>L9&gt;=L8</formula1>
    </dataValidation>
    <dataValidation type="custom" allowBlank="1" showInputMessage="1" showErrorMessage="1" errorTitle="Ungültige Eingabe" error="Zeitangabe muss größer gleich 0 sein._x000a_" sqref="D10" xr:uid="{8271F8D4-0AD2-4477-94E4-9768AA10FD94}">
      <formula1>C10&gt;=0</formula1>
    </dataValidation>
    <dataValidation type="custom" allowBlank="1" showInputMessage="1" showErrorMessage="1" errorTitle="Ungültige Eingabe" error="Die Zeitangabe darf nicht negativ sein." sqref="C10 C17" xr:uid="{3C21EB73-B682-4A6F-AC3A-B86304766CF1}">
      <formula1>C10&gt;=0</formula1>
    </dataValidation>
    <dataValidation type="custom" allowBlank="1" showInputMessage="1" showErrorMessage="1" errorTitle="Ungültige Eingabe" error="Die Angabe der Fläche muss größer 0 sein." sqref="G6" xr:uid="{703DA053-AB37-4098-8E72-725E25AA2008}">
      <formula1>G6&gt;0</formula1>
    </dataValidation>
    <dataValidation type="custom" allowBlank="1" showInputMessage="1" showErrorMessage="1" errorTitle="Ungültige Eingabe" error="Die Höhe muss größer 0 sein." sqref="H15" xr:uid="{747E19C0-06F5-4396-919C-45C6877E1A6B}">
      <formula1>G7&gt;0</formula1>
    </dataValidation>
    <dataValidation type="custom" allowBlank="1" showInputMessage="1" showErrorMessage="1" errorTitle="Ungültige Eingabe" error="Die Höhe muss größer 0 sein." sqref="G7" xr:uid="{C114497E-5EDA-45F0-9F01-1E1C63D0FB9D}">
      <formula1>G7&gt;0</formula1>
    </dataValidation>
    <dataValidation type="custom" allowBlank="1" showInputMessage="1" showErrorMessage="1" errorTitle="Ungültige Eingabe" error="Die Luftwechselrate muss größer oder gleich 0 sein." sqref="H14 H19 H17" xr:uid="{B56A8ED8-4F52-4039-B8D9-3FEC8C8FF3C8}">
      <formula1>H14&gt;=0</formula1>
    </dataValidation>
  </dataValidations>
  <pageMargins left="0.7" right="0.7" top="0.78740157499999996" bottom="0.78740157499999996" header="0.3" footer="0.3"/>
  <pageSetup paperSize="9" orientation="portrait" r:id="rId1"/>
  <headerFooter>
    <oddFooter>&amp;L&amp;1#&amp;"Calibri"&amp;10&amp;K000000[internal]</oddFooter>
  </headerFooter>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095A68B-00D0-4D17-ACD3-44BEC23E7098}">
          <x14:formula1>
            <xm:f>Settings!$B$3:$B$13</xm:f>
          </x14:formula1>
          <xm:sqref>C6</xm:sqref>
        </x14:dataValidation>
        <x14:dataValidation type="list" allowBlank="1" showInputMessage="1" showErrorMessage="1" xr:uid="{5D38A7EC-1ABF-4189-973F-903BFEFDD09B}">
          <x14:formula1>
            <xm:f>Settings!$E$3:$E$6</xm:f>
          </x14:formula1>
          <xm:sqref>C7 C14</xm:sqref>
        </x14:dataValidation>
        <x14:dataValidation type="list" allowBlank="1" showInputMessage="1" showErrorMessage="1" xr:uid="{35742F14-EDD6-4FA1-A7DB-58979CEA56B4}">
          <x14:formula1>
            <xm:f>Settings!$H$3:$H$23</xm:f>
          </x14:formula1>
          <xm:sqref>C8 C15</xm:sqref>
        </x14:dataValidation>
        <x14:dataValidation type="list" allowBlank="1" showInputMessage="1" showErrorMessage="1" xr:uid="{D3433A56-917D-4F83-89CC-69CB3F2D1770}">
          <x14:formula1>
            <xm:f>Settings!$N$3:$N$6</xm:f>
          </x14:formula1>
          <xm:sqref>L7 L12 L17</xm:sqref>
        </x14:dataValidation>
        <x14:dataValidation type="list" allowBlank="1" showInputMessage="1" showErrorMessage="1" xr:uid="{2D0AC968-E9C6-43C9-BECF-4A062B62301E}">
          <x14:formula1>
            <xm:f>Settings!$Q$3:$Q$6</xm:f>
          </x14:formula1>
          <xm:sqref>C20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B57D3-8CC0-4353-A440-EA73A1232EDB}">
  <dimension ref="A1:N20"/>
  <sheetViews>
    <sheetView zoomScale="120" zoomScaleNormal="120" workbookViewId="0">
      <selection activeCell="F18" sqref="F18"/>
    </sheetView>
  </sheetViews>
  <sheetFormatPr baseColWidth="10" defaultColWidth="11.44140625" defaultRowHeight="14.4" x14ac:dyDescent="0.3"/>
  <cols>
    <col min="1" max="1" width="1.6640625" style="3" customWidth="1"/>
    <col min="2" max="2" width="2.33203125" style="3" customWidth="1"/>
    <col min="3" max="16384" width="11.44140625" style="3"/>
  </cols>
  <sheetData>
    <row r="1" spans="1:14" ht="9" customHeight="1" x14ac:dyDescent="0.3">
      <c r="A1" s="20"/>
      <c r="B1" s="21"/>
      <c r="C1" s="21"/>
      <c r="D1" s="21"/>
      <c r="E1" s="21"/>
      <c r="F1" s="21"/>
      <c r="G1" s="21"/>
      <c r="H1" s="21"/>
      <c r="I1" s="21"/>
      <c r="J1" s="21"/>
      <c r="K1" s="21"/>
      <c r="L1" s="21"/>
      <c r="M1" s="21"/>
    </row>
    <row r="2" spans="1:14" x14ac:dyDescent="0.3">
      <c r="A2" s="20"/>
      <c r="B2" s="22"/>
      <c r="C2" s="22"/>
      <c r="D2" s="22"/>
      <c r="E2" s="22"/>
      <c r="F2" s="22"/>
      <c r="G2" s="22"/>
      <c r="H2" s="22"/>
      <c r="I2" s="22"/>
      <c r="J2" s="22"/>
      <c r="K2" s="22"/>
      <c r="L2" s="22"/>
      <c r="M2" s="22"/>
      <c r="N2" s="22"/>
    </row>
    <row r="3" spans="1:14" x14ac:dyDescent="0.3">
      <c r="A3" s="20"/>
      <c r="B3" s="22"/>
      <c r="C3" s="22" t="s">
        <v>132</v>
      </c>
      <c r="D3" s="22"/>
      <c r="E3" s="22"/>
      <c r="F3" s="22"/>
      <c r="G3" s="22"/>
      <c r="H3" s="22"/>
      <c r="I3" s="22"/>
      <c r="J3" s="22"/>
      <c r="K3" s="22"/>
      <c r="L3" s="22"/>
      <c r="M3" s="22"/>
      <c r="N3" s="22"/>
    </row>
    <row r="4" spans="1:14" x14ac:dyDescent="0.3">
      <c r="A4" s="20"/>
      <c r="B4" s="22"/>
      <c r="C4" s="22" t="s">
        <v>133</v>
      </c>
      <c r="D4" s="22"/>
      <c r="E4" s="22"/>
      <c r="F4" s="22"/>
      <c r="G4" s="22"/>
      <c r="H4" s="22"/>
      <c r="I4" s="22"/>
      <c r="J4" s="22"/>
      <c r="K4" s="22"/>
      <c r="L4" s="22"/>
      <c r="M4" s="22"/>
      <c r="N4" s="22"/>
    </row>
    <row r="5" spans="1:14" x14ac:dyDescent="0.3">
      <c r="A5" s="20"/>
      <c r="B5" s="22"/>
      <c r="C5" s="22" t="s">
        <v>134</v>
      </c>
      <c r="D5" s="22"/>
      <c r="E5" s="22"/>
      <c r="F5" s="22"/>
      <c r="G5" s="22"/>
      <c r="H5" s="22"/>
      <c r="I5" s="22"/>
      <c r="J5" s="22"/>
      <c r="K5" s="22"/>
      <c r="L5" s="22"/>
      <c r="M5" s="22"/>
      <c r="N5" s="22"/>
    </row>
    <row r="6" spans="1:14" x14ac:dyDescent="0.3">
      <c r="A6" s="20"/>
      <c r="B6" s="22"/>
      <c r="C6" s="22" t="s">
        <v>135</v>
      </c>
      <c r="D6" s="22"/>
      <c r="E6" s="22"/>
      <c r="F6" s="22"/>
      <c r="G6" s="22"/>
      <c r="H6" s="22"/>
      <c r="I6" s="22"/>
      <c r="J6" s="22"/>
      <c r="K6" s="22"/>
      <c r="L6" s="22"/>
      <c r="M6" s="22"/>
      <c r="N6" s="22"/>
    </row>
    <row r="7" spans="1:14" x14ac:dyDescent="0.3">
      <c r="A7" s="20"/>
      <c r="B7" s="22"/>
      <c r="C7" s="22" t="s">
        <v>136</v>
      </c>
      <c r="D7" s="22"/>
      <c r="E7" s="22"/>
      <c r="F7" s="22"/>
      <c r="G7" s="22"/>
      <c r="H7" s="22"/>
      <c r="I7" s="22"/>
      <c r="J7" s="22"/>
      <c r="K7" s="22"/>
      <c r="L7" s="22"/>
      <c r="M7" s="22"/>
      <c r="N7" s="22"/>
    </row>
    <row r="8" spans="1:14" x14ac:dyDescent="0.3">
      <c r="A8" s="20"/>
      <c r="B8" s="22"/>
      <c r="C8" s="22"/>
      <c r="D8" s="22"/>
      <c r="E8" s="22"/>
      <c r="F8" s="22"/>
      <c r="G8" s="22"/>
      <c r="H8" s="22"/>
      <c r="I8" s="22"/>
      <c r="J8" s="22"/>
      <c r="K8" s="22"/>
      <c r="L8" s="22"/>
      <c r="M8" s="22"/>
      <c r="N8" s="22"/>
    </row>
    <row r="9" spans="1:14" x14ac:dyDescent="0.3">
      <c r="A9" s="20"/>
      <c r="B9" s="22"/>
      <c r="C9" s="22" t="s">
        <v>137</v>
      </c>
      <c r="D9" s="22"/>
      <c r="E9" s="22"/>
      <c r="F9" s="22"/>
      <c r="G9" s="22"/>
      <c r="H9" s="22"/>
      <c r="I9" s="22"/>
      <c r="J9" s="22"/>
      <c r="K9" s="22"/>
      <c r="L9" s="22"/>
      <c r="M9" s="22"/>
      <c r="N9" s="22"/>
    </row>
    <row r="10" spans="1:14" x14ac:dyDescent="0.3">
      <c r="A10" s="20"/>
      <c r="B10" s="22"/>
      <c r="C10" s="22" t="s">
        <v>138</v>
      </c>
      <c r="D10" s="22"/>
      <c r="E10" s="22"/>
      <c r="F10" s="22"/>
      <c r="G10" s="22"/>
      <c r="H10" s="22"/>
      <c r="I10" s="22"/>
      <c r="J10" s="22"/>
      <c r="K10" s="22"/>
      <c r="L10" s="22"/>
      <c r="M10" s="22"/>
      <c r="N10" s="22"/>
    </row>
    <row r="11" spans="1:14" x14ac:dyDescent="0.3">
      <c r="A11" s="20"/>
      <c r="B11" s="22"/>
      <c r="C11" s="22" t="s">
        <v>139</v>
      </c>
      <c r="D11" s="22"/>
      <c r="E11" s="22"/>
      <c r="F11" s="22"/>
      <c r="G11" s="22"/>
      <c r="H11" s="22"/>
      <c r="I11" s="22"/>
      <c r="J11" s="22"/>
      <c r="K11" s="22"/>
      <c r="L11" s="22"/>
      <c r="M11" s="22"/>
      <c r="N11" s="22"/>
    </row>
    <row r="12" spans="1:14" x14ac:dyDescent="0.3">
      <c r="A12" s="20"/>
      <c r="B12" s="22"/>
      <c r="C12" s="22" t="s">
        <v>140</v>
      </c>
      <c r="D12" s="22"/>
      <c r="E12" s="22"/>
      <c r="F12" s="22"/>
      <c r="G12" s="22"/>
      <c r="H12" s="22"/>
      <c r="I12" s="22"/>
      <c r="J12" s="22"/>
      <c r="K12" s="22"/>
      <c r="L12" s="22"/>
      <c r="M12" s="22"/>
      <c r="N12" s="22"/>
    </row>
    <row r="13" spans="1:14" x14ac:dyDescent="0.3">
      <c r="A13" s="20"/>
      <c r="B13" s="22"/>
      <c r="C13" s="22"/>
      <c r="D13" s="22"/>
      <c r="E13" s="22"/>
      <c r="F13" s="22"/>
      <c r="G13" s="22"/>
      <c r="H13" s="22"/>
      <c r="I13" s="22"/>
      <c r="J13" s="22"/>
      <c r="K13" s="22"/>
      <c r="L13" s="22"/>
      <c r="M13" s="22"/>
      <c r="N13" s="22"/>
    </row>
    <row r="14" spans="1:14" x14ac:dyDescent="0.3">
      <c r="A14" s="20"/>
      <c r="B14" s="22"/>
      <c r="C14" s="22"/>
      <c r="D14" s="22"/>
      <c r="E14" s="22"/>
      <c r="F14" s="22"/>
      <c r="G14" s="22"/>
      <c r="H14" s="22"/>
      <c r="I14" s="22"/>
      <c r="J14" s="22"/>
      <c r="K14" s="22"/>
      <c r="L14" s="22"/>
      <c r="M14" s="22"/>
      <c r="N14" s="22"/>
    </row>
    <row r="15" spans="1:14" x14ac:dyDescent="0.3">
      <c r="A15" s="20"/>
      <c r="B15" s="22"/>
      <c r="C15" s="22"/>
      <c r="D15" s="22"/>
      <c r="E15" s="22"/>
      <c r="F15" s="22"/>
      <c r="G15" s="22"/>
      <c r="H15" s="22"/>
      <c r="I15" s="22"/>
      <c r="J15" s="22"/>
      <c r="K15" s="22"/>
      <c r="L15" s="22"/>
      <c r="M15" s="22"/>
      <c r="N15" s="22"/>
    </row>
    <row r="16" spans="1:14" x14ac:dyDescent="0.3">
      <c r="A16" s="20"/>
      <c r="B16" s="22"/>
      <c r="C16" s="22"/>
      <c r="D16" s="22"/>
      <c r="E16" s="22"/>
      <c r="F16" s="22"/>
      <c r="G16" s="22"/>
      <c r="H16" s="22"/>
      <c r="I16" s="22"/>
      <c r="J16" s="22"/>
      <c r="K16" s="22"/>
      <c r="L16" s="22"/>
      <c r="M16" s="22"/>
      <c r="N16" s="22"/>
    </row>
    <row r="17" spans="1:14" x14ac:dyDescent="0.3">
      <c r="A17" s="20"/>
      <c r="B17" s="22"/>
      <c r="C17" s="22"/>
      <c r="D17" s="22"/>
      <c r="E17" s="22"/>
      <c r="F17" s="22"/>
      <c r="G17" s="22"/>
      <c r="H17" s="22"/>
      <c r="I17" s="22"/>
      <c r="J17" s="22"/>
      <c r="K17" s="22"/>
      <c r="L17" s="22"/>
      <c r="M17" s="22"/>
      <c r="N17" s="22"/>
    </row>
    <row r="18" spans="1:14" x14ac:dyDescent="0.3">
      <c r="A18" s="20"/>
      <c r="B18" s="22"/>
      <c r="C18" s="22"/>
      <c r="D18" s="22"/>
      <c r="E18" s="22"/>
      <c r="F18" s="22"/>
      <c r="G18" s="22"/>
      <c r="H18" s="22"/>
      <c r="I18" s="22"/>
      <c r="J18" s="22"/>
      <c r="K18" s="22"/>
      <c r="L18" s="22"/>
      <c r="M18" s="22"/>
      <c r="N18" s="22"/>
    </row>
    <row r="19" spans="1:14" x14ac:dyDescent="0.3">
      <c r="A19" s="20"/>
      <c r="B19" s="22"/>
      <c r="C19" s="22"/>
      <c r="D19" s="22"/>
      <c r="E19" s="22"/>
      <c r="F19" s="22"/>
      <c r="G19" s="22"/>
      <c r="H19" s="22"/>
      <c r="I19" s="22"/>
      <c r="J19" s="22"/>
      <c r="K19" s="22"/>
      <c r="L19" s="22"/>
      <c r="M19" s="22"/>
      <c r="N19" s="22"/>
    </row>
    <row r="20" spans="1:14" x14ac:dyDescent="0.3">
      <c r="A20" s="20"/>
      <c r="B20" s="22"/>
      <c r="C20" s="22"/>
      <c r="D20" s="22"/>
      <c r="E20" s="22"/>
      <c r="F20" s="22"/>
      <c r="G20" s="22"/>
      <c r="H20" s="22"/>
      <c r="I20" s="22"/>
      <c r="J20" s="22"/>
      <c r="K20" s="22"/>
      <c r="L20" s="22"/>
      <c r="M20" s="22"/>
      <c r="N20" s="22"/>
    </row>
  </sheetData>
  <sheetProtection algorithmName="SHA-512" hashValue="+LeGnr3bmjvRkRRswlFjmYiu+d1hRIk0cFBcQT5LnKulEu2kB5+xCYUxHF7CCB4U7U0Vak6TZz8n8NQTRht1ug==" saltValue="iJNwakUx41S6+JjHxrLT3Q==" spinCount="100000" sheet="1" objects="1" scenarios="1"/>
  <pageMargins left="0.7" right="0.7" top="0.78740157499999996" bottom="0.78740157499999996" header="0.3" footer="0.3"/>
  <pageSetup paperSize="9" orientation="portrait" r:id="rId1"/>
  <headerFooter>
    <oddFooter>&amp;L&amp;1#&amp;"Calibri"&amp;10&amp;K000000[internal]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084AF-20CE-44DF-820B-14A72753A30C}">
  <dimension ref="A1:O32"/>
  <sheetViews>
    <sheetView workbookViewId="0">
      <selection activeCell="F37" sqref="F37"/>
    </sheetView>
  </sheetViews>
  <sheetFormatPr baseColWidth="10" defaultColWidth="11.44140625" defaultRowHeight="14.4" x14ac:dyDescent="0.3"/>
  <cols>
    <col min="1" max="1" width="1.6640625" style="3" customWidth="1"/>
    <col min="2" max="16384" width="11.44140625" style="3"/>
  </cols>
  <sheetData>
    <row r="1" spans="1:15" x14ac:dyDescent="0.3">
      <c r="A1" s="12"/>
      <c r="B1" s="1" t="s">
        <v>142</v>
      </c>
      <c r="C1" s="12"/>
      <c r="D1" s="12"/>
      <c r="E1" s="12"/>
      <c r="F1" s="12"/>
      <c r="G1" s="12"/>
      <c r="H1" s="12"/>
      <c r="I1" s="12"/>
      <c r="J1" s="12"/>
      <c r="K1" s="12"/>
      <c r="L1" s="12"/>
      <c r="M1" s="12"/>
      <c r="N1" s="12"/>
      <c r="O1" s="12"/>
    </row>
    <row r="2" spans="1:15" ht="4.2" customHeight="1" x14ac:dyDescent="0.3"/>
    <row r="3" spans="1:15" x14ac:dyDescent="0.3">
      <c r="A3" s="13"/>
      <c r="B3" s="14" t="s">
        <v>143</v>
      </c>
      <c r="C3" s="13"/>
      <c r="D3" s="13"/>
      <c r="E3" s="13"/>
      <c r="F3" s="13"/>
      <c r="G3" s="13"/>
      <c r="H3" s="13"/>
      <c r="I3" s="13"/>
      <c r="J3" s="13"/>
      <c r="K3" s="13"/>
      <c r="L3" s="13"/>
      <c r="M3" s="13"/>
      <c r="N3" s="13"/>
      <c r="O3" s="13"/>
    </row>
    <row r="4" spans="1:15" x14ac:dyDescent="0.3">
      <c r="A4" s="5"/>
      <c r="B4" s="5" t="s">
        <v>144</v>
      </c>
      <c r="C4" s="5"/>
      <c r="D4" s="5"/>
      <c r="E4" s="5"/>
      <c r="F4" s="5"/>
      <c r="G4" s="5"/>
      <c r="H4" s="5"/>
      <c r="I4" s="5"/>
      <c r="J4" s="5"/>
      <c r="K4" s="5"/>
      <c r="L4" s="5"/>
      <c r="M4" s="5"/>
      <c r="N4" s="5"/>
      <c r="O4" s="5"/>
    </row>
    <row r="5" spans="1:15" x14ac:dyDescent="0.3">
      <c r="A5" s="5"/>
      <c r="B5" s="5" t="s">
        <v>145</v>
      </c>
      <c r="C5" s="5"/>
      <c r="D5" s="5"/>
      <c r="E5" s="5"/>
      <c r="F5" s="5"/>
      <c r="G5" s="5"/>
      <c r="H5" s="5"/>
      <c r="I5" s="5"/>
      <c r="J5" s="5"/>
      <c r="K5" s="5"/>
      <c r="L5" s="5"/>
      <c r="M5" s="5"/>
      <c r="N5" s="5"/>
      <c r="O5" s="5"/>
    </row>
    <row r="6" spans="1:15" x14ac:dyDescent="0.3">
      <c r="A6" s="5"/>
      <c r="B6" s="15" t="s">
        <v>146</v>
      </c>
      <c r="C6" s="5"/>
      <c r="D6" s="5"/>
      <c r="E6" s="5"/>
      <c r="F6" s="5"/>
      <c r="G6" s="5"/>
      <c r="H6" s="5"/>
      <c r="I6" s="5"/>
      <c r="J6" s="5"/>
      <c r="K6" s="5"/>
      <c r="L6" s="5"/>
      <c r="M6" s="5"/>
      <c r="N6" s="5"/>
      <c r="O6" s="5"/>
    </row>
    <row r="7" spans="1:15" ht="4.2" customHeight="1" x14ac:dyDescent="0.3">
      <c r="B7" s="16"/>
    </row>
    <row r="8" spans="1:15" x14ac:dyDescent="0.3">
      <c r="A8" s="14"/>
      <c r="B8" s="14" t="s">
        <v>147</v>
      </c>
      <c r="C8" s="17"/>
      <c r="D8" s="14"/>
      <c r="E8" s="14"/>
      <c r="F8" s="14"/>
      <c r="G8" s="14"/>
      <c r="H8" s="14"/>
      <c r="I8" s="14"/>
      <c r="J8" s="14"/>
      <c r="K8" s="14"/>
      <c r="L8" s="14"/>
      <c r="M8" s="14"/>
      <c r="N8" s="14"/>
      <c r="O8" s="14"/>
    </row>
    <row r="9" spans="1:15" x14ac:dyDescent="0.3">
      <c r="A9" s="5"/>
      <c r="B9" s="5" t="s">
        <v>148</v>
      </c>
      <c r="C9" s="15"/>
      <c r="D9" s="5"/>
      <c r="E9" s="5"/>
      <c r="F9" s="5"/>
      <c r="G9" s="5"/>
      <c r="H9" s="5"/>
      <c r="I9" s="5"/>
      <c r="J9" s="5"/>
      <c r="K9" s="5"/>
      <c r="L9" s="5"/>
      <c r="M9" s="5"/>
      <c r="N9" s="5"/>
      <c r="O9" s="5"/>
    </row>
    <row r="10" spans="1:15" x14ac:dyDescent="0.3">
      <c r="A10" s="5"/>
      <c r="B10" s="5" t="s">
        <v>149</v>
      </c>
      <c r="C10" s="5"/>
      <c r="D10" s="5"/>
      <c r="E10" s="5"/>
      <c r="F10" s="5"/>
      <c r="G10" s="5"/>
      <c r="H10" s="5"/>
      <c r="I10" s="5"/>
      <c r="J10" s="5"/>
      <c r="K10" s="5"/>
      <c r="L10" s="5"/>
      <c r="M10" s="5"/>
      <c r="N10" s="5"/>
      <c r="O10" s="5"/>
    </row>
    <row r="11" spans="1:15" x14ac:dyDescent="0.3">
      <c r="A11" s="5"/>
      <c r="B11" s="5" t="s">
        <v>150</v>
      </c>
      <c r="C11" s="15"/>
      <c r="D11" s="5"/>
      <c r="E11" s="5"/>
      <c r="F11" s="5"/>
      <c r="G11" s="5"/>
      <c r="H11" s="5"/>
      <c r="I11" s="5"/>
      <c r="J11" s="5"/>
      <c r="K11" s="5"/>
      <c r="L11" s="5"/>
      <c r="M11" s="5"/>
      <c r="N11" s="5"/>
      <c r="O11" s="5"/>
    </row>
    <row r="12" spans="1:15" x14ac:dyDescent="0.3">
      <c r="A12" s="5"/>
      <c r="B12" s="5" t="s">
        <v>151</v>
      </c>
      <c r="C12" s="15"/>
      <c r="D12" s="5"/>
      <c r="E12" s="5"/>
      <c r="F12" s="5"/>
      <c r="G12" s="5"/>
      <c r="H12" s="5"/>
      <c r="I12" s="5"/>
      <c r="J12" s="5"/>
      <c r="K12" s="5"/>
      <c r="L12" s="5"/>
      <c r="M12" s="5"/>
      <c r="N12" s="5"/>
      <c r="O12" s="5"/>
    </row>
    <row r="13" spans="1:15" x14ac:dyDescent="0.3">
      <c r="A13" s="5"/>
      <c r="B13" s="5" t="s">
        <v>152</v>
      </c>
      <c r="C13" s="5"/>
      <c r="D13" s="5"/>
      <c r="E13" s="5"/>
      <c r="F13" s="5"/>
      <c r="G13" s="5"/>
      <c r="H13" s="5"/>
      <c r="I13" s="5"/>
      <c r="J13" s="5"/>
      <c r="K13" s="5"/>
      <c r="L13" s="5"/>
      <c r="M13" s="5"/>
      <c r="N13" s="5"/>
      <c r="O13" s="5"/>
    </row>
    <row r="14" spans="1:15" x14ac:dyDescent="0.3">
      <c r="A14" s="5"/>
      <c r="B14" s="5" t="s">
        <v>153</v>
      </c>
      <c r="C14" s="15"/>
      <c r="D14" s="5"/>
      <c r="E14" s="5"/>
      <c r="F14" s="5"/>
      <c r="G14" s="5"/>
      <c r="H14" s="5"/>
      <c r="I14" s="5"/>
      <c r="J14" s="5"/>
      <c r="K14" s="5"/>
      <c r="L14" s="5"/>
      <c r="M14" s="5"/>
      <c r="N14" s="5"/>
      <c r="O14" s="5"/>
    </row>
    <row r="15" spans="1:15" ht="4.2" customHeight="1" x14ac:dyDescent="0.3">
      <c r="C15" s="18"/>
    </row>
    <row r="16" spans="1:15" x14ac:dyDescent="0.3">
      <c r="A16" s="13"/>
      <c r="B16" s="14" t="s">
        <v>154</v>
      </c>
      <c r="C16" s="13"/>
      <c r="D16" s="13"/>
      <c r="E16" s="13"/>
      <c r="F16" s="13"/>
      <c r="G16" s="13"/>
      <c r="H16" s="13"/>
      <c r="I16" s="13"/>
      <c r="J16" s="13"/>
      <c r="K16" s="13"/>
      <c r="L16" s="13"/>
      <c r="M16" s="13"/>
      <c r="N16" s="13"/>
      <c r="O16" s="13"/>
    </row>
    <row r="17" spans="1:15" x14ac:dyDescent="0.3">
      <c r="A17" s="5"/>
      <c r="B17" s="5" t="s">
        <v>155</v>
      </c>
      <c r="C17" s="15"/>
      <c r="D17" s="5"/>
      <c r="E17" s="5"/>
      <c r="F17" s="5"/>
      <c r="G17" s="5"/>
      <c r="H17" s="5"/>
      <c r="I17" s="5"/>
      <c r="J17" s="5"/>
      <c r="K17" s="5"/>
      <c r="L17" s="5"/>
      <c r="M17" s="5"/>
      <c r="N17" s="5"/>
      <c r="O17" s="5"/>
    </row>
    <row r="18" spans="1:15" x14ac:dyDescent="0.3">
      <c r="A18" s="5"/>
      <c r="B18" s="5" t="s">
        <v>156</v>
      </c>
      <c r="C18" s="15"/>
      <c r="D18" s="5"/>
      <c r="E18" s="5"/>
      <c r="F18" s="5"/>
      <c r="G18" s="5"/>
      <c r="H18" s="5"/>
      <c r="I18" s="5"/>
      <c r="J18" s="5"/>
      <c r="K18" s="5"/>
      <c r="L18" s="5"/>
      <c r="M18" s="5"/>
      <c r="N18" s="5"/>
      <c r="O18" s="5"/>
    </row>
    <row r="19" spans="1:15" x14ac:dyDescent="0.3">
      <c r="A19" s="5"/>
      <c r="B19" s="5" t="s">
        <v>157</v>
      </c>
      <c r="C19" s="5"/>
      <c r="D19" s="5"/>
      <c r="E19" s="5"/>
      <c r="F19" s="5"/>
      <c r="G19" s="5"/>
      <c r="H19" s="5"/>
      <c r="I19" s="5"/>
      <c r="J19" s="5"/>
      <c r="K19" s="5"/>
      <c r="L19" s="5"/>
      <c r="M19" s="5"/>
      <c r="N19" s="5"/>
      <c r="O19" s="5"/>
    </row>
    <row r="20" spans="1:15" ht="4.95" customHeight="1" x14ac:dyDescent="0.3"/>
    <row r="21" spans="1:15" x14ac:dyDescent="0.3">
      <c r="A21" s="13"/>
      <c r="B21" s="14" t="s">
        <v>158</v>
      </c>
      <c r="C21" s="13"/>
      <c r="D21" s="13"/>
      <c r="E21" s="13"/>
      <c r="F21" s="13"/>
      <c r="G21" s="13"/>
      <c r="H21" s="13"/>
      <c r="I21" s="13"/>
      <c r="J21" s="13"/>
      <c r="K21" s="13"/>
      <c r="L21" s="13"/>
      <c r="M21" s="13"/>
      <c r="N21" s="13"/>
      <c r="O21" s="13"/>
    </row>
    <row r="22" spans="1:15" x14ac:dyDescent="0.3">
      <c r="A22" s="5"/>
      <c r="B22" s="5" t="s">
        <v>159</v>
      </c>
      <c r="C22" s="5"/>
      <c r="D22" s="5"/>
      <c r="E22" s="5"/>
      <c r="F22" s="5"/>
      <c r="G22" s="5"/>
      <c r="H22" s="5"/>
      <c r="I22" s="5"/>
      <c r="J22" s="5"/>
      <c r="K22" s="5"/>
      <c r="L22" s="5"/>
      <c r="M22" s="5"/>
      <c r="N22" s="5"/>
      <c r="O22" s="5"/>
    </row>
    <row r="23" spans="1:15" x14ac:dyDescent="0.3">
      <c r="A23" s="5"/>
      <c r="B23" s="5" t="s">
        <v>160</v>
      </c>
      <c r="C23" s="5"/>
      <c r="D23" s="5"/>
      <c r="E23" s="5"/>
      <c r="F23" s="5"/>
      <c r="G23" s="5"/>
      <c r="H23" s="5"/>
      <c r="I23" s="5"/>
      <c r="J23" s="5"/>
      <c r="K23" s="5"/>
      <c r="L23" s="5"/>
      <c r="M23" s="5"/>
      <c r="N23" s="5"/>
      <c r="O23" s="5"/>
    </row>
    <row r="24" spans="1:15" ht="4.5" customHeight="1" x14ac:dyDescent="0.3"/>
    <row r="25" spans="1:15" x14ac:dyDescent="0.3">
      <c r="A25" s="13"/>
      <c r="B25" s="14" t="s">
        <v>161</v>
      </c>
      <c r="C25" s="13"/>
      <c r="D25" s="13"/>
      <c r="E25" s="13"/>
      <c r="F25" s="13"/>
      <c r="G25" s="13"/>
      <c r="H25" s="13"/>
      <c r="I25" s="13"/>
      <c r="J25" s="13"/>
      <c r="K25" s="13"/>
      <c r="L25" s="13"/>
      <c r="M25" s="13"/>
      <c r="N25" s="13"/>
      <c r="O25" s="13"/>
    </row>
    <row r="26" spans="1:15" x14ac:dyDescent="0.3">
      <c r="A26" s="5"/>
      <c r="B26" s="15" t="s">
        <v>162</v>
      </c>
      <c r="C26" s="5"/>
      <c r="D26" s="5"/>
      <c r="E26" s="5"/>
      <c r="F26" s="5"/>
      <c r="G26" s="5"/>
      <c r="H26" s="5"/>
      <c r="I26" s="5"/>
      <c r="J26" s="5"/>
      <c r="K26" s="5"/>
      <c r="L26" s="5"/>
      <c r="M26" s="5"/>
      <c r="N26" s="5"/>
      <c r="O26" s="5"/>
    </row>
    <row r="27" spans="1:15" x14ac:dyDescent="0.3">
      <c r="A27" s="5"/>
      <c r="B27" s="5" t="s">
        <v>163</v>
      </c>
      <c r="C27" s="5"/>
      <c r="D27" s="5"/>
      <c r="E27" s="5"/>
      <c r="F27" s="5"/>
      <c r="G27" s="5"/>
      <c r="H27" s="5"/>
      <c r="I27" s="5"/>
      <c r="J27" s="5"/>
      <c r="K27" s="5"/>
      <c r="L27" s="5"/>
      <c r="M27" s="5"/>
      <c r="N27" s="5"/>
      <c r="O27" s="5"/>
    </row>
    <row r="28" spans="1:15" x14ac:dyDescent="0.3">
      <c r="A28" s="5"/>
      <c r="B28" s="5" t="s">
        <v>164</v>
      </c>
      <c r="C28" s="5"/>
      <c r="D28" s="5"/>
      <c r="E28" s="5"/>
      <c r="F28" s="5"/>
      <c r="G28" s="5"/>
      <c r="H28" s="5"/>
      <c r="I28" s="5"/>
      <c r="J28" s="5"/>
      <c r="K28" s="5"/>
      <c r="L28" s="5"/>
      <c r="M28" s="5"/>
      <c r="N28" s="5"/>
      <c r="O28" s="5"/>
    </row>
    <row r="32" spans="1:15" x14ac:dyDescent="0.3">
      <c r="B32" s="19"/>
    </row>
  </sheetData>
  <sheetProtection algorithmName="SHA-512" hashValue="nxiVErWzcIR4uHx46Cc//yt1TubbE1UNjyY8jyivIrLBhHlh9lDlUUV6k7UpOmnscCVGn9K1PpXsVKlskMoRJA==" saltValue="Enfpbg+8i3hFrQl8o72nmQ==" spinCount="100000" sheet="1" objects="1" scenarios="1"/>
  <pageMargins left="0.7" right="0.7" top="0.78740157499999996" bottom="0.78740157499999996" header="0.3" footer="0.3"/>
  <pageSetup paperSize="9" orientation="portrait" r:id="rId1"/>
  <headerFooter>
    <oddFooter>&amp;L&amp;1#&amp;"Calibri"&amp;10&amp;K000000[internal]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793A0-8471-449D-A6C5-078EE664ACF1}">
  <dimension ref="A1:O10"/>
  <sheetViews>
    <sheetView workbookViewId="0">
      <selection activeCell="G16" sqref="G16"/>
    </sheetView>
  </sheetViews>
  <sheetFormatPr baseColWidth="10" defaultColWidth="11.44140625" defaultRowHeight="14.4" x14ac:dyDescent="0.3"/>
  <cols>
    <col min="1" max="1" width="2.6640625" style="3" customWidth="1"/>
    <col min="2" max="16384" width="11.44140625" style="3"/>
  </cols>
  <sheetData>
    <row r="1" spans="1:15" ht="3" customHeight="1" x14ac:dyDescent="0.3"/>
    <row r="2" spans="1:15" x14ac:dyDescent="0.3">
      <c r="A2" s="2"/>
      <c r="B2" s="1" t="s">
        <v>141</v>
      </c>
      <c r="C2" s="2"/>
      <c r="D2" s="2"/>
      <c r="E2" s="2"/>
      <c r="F2" s="2"/>
      <c r="G2" s="2"/>
      <c r="H2" s="2"/>
      <c r="I2" s="2"/>
      <c r="J2" s="2"/>
      <c r="K2" s="2"/>
      <c r="L2" s="2"/>
      <c r="M2" s="2"/>
      <c r="N2" s="2"/>
      <c r="O2" s="8"/>
    </row>
    <row r="3" spans="1:15" x14ac:dyDescent="0.3">
      <c r="A3" s="9"/>
      <c r="B3" s="10"/>
      <c r="C3" s="9"/>
      <c r="D3" s="9"/>
      <c r="E3" s="9"/>
      <c r="F3" s="9"/>
      <c r="G3" s="9"/>
      <c r="H3" s="9"/>
      <c r="I3" s="9"/>
      <c r="J3" s="9"/>
      <c r="K3" s="9"/>
      <c r="L3" s="9"/>
      <c r="M3" s="9"/>
      <c r="N3" s="9"/>
      <c r="O3" s="8"/>
    </row>
    <row r="4" spans="1:15" x14ac:dyDescent="0.3">
      <c r="A4" s="5" t="s">
        <v>11</v>
      </c>
      <c r="B4" s="5" t="s">
        <v>13</v>
      </c>
      <c r="C4" s="5"/>
      <c r="D4" s="5"/>
      <c r="E4" s="5"/>
      <c r="F4" s="5"/>
      <c r="G4" s="5"/>
      <c r="H4" s="5"/>
      <c r="I4" s="5"/>
      <c r="J4" s="5"/>
      <c r="K4" s="5"/>
      <c r="L4" s="5"/>
      <c r="M4" s="5"/>
      <c r="N4" s="5"/>
      <c r="O4" s="11"/>
    </row>
    <row r="5" spans="1:15" x14ac:dyDescent="0.3">
      <c r="A5" s="5" t="s">
        <v>12</v>
      </c>
      <c r="B5" s="5" t="s">
        <v>21</v>
      </c>
      <c r="C5" s="5"/>
      <c r="D5" s="5"/>
      <c r="E5" s="5"/>
      <c r="F5" s="5"/>
      <c r="G5" s="5"/>
      <c r="H5" s="5"/>
      <c r="I5" s="5"/>
      <c r="J5" s="5"/>
      <c r="K5" s="5"/>
      <c r="L5" s="5"/>
      <c r="M5" s="5"/>
      <c r="N5" s="5"/>
      <c r="O5" s="11"/>
    </row>
    <row r="6" spans="1:15" x14ac:dyDescent="0.3">
      <c r="A6" s="5" t="s">
        <v>14</v>
      </c>
      <c r="B6" s="5" t="s">
        <v>19</v>
      </c>
      <c r="C6" s="5"/>
      <c r="D6" s="5"/>
      <c r="E6" s="5"/>
      <c r="F6" s="5"/>
      <c r="G6" s="5"/>
      <c r="H6" s="5"/>
      <c r="I6" s="5"/>
      <c r="J6" s="5"/>
      <c r="K6" s="5"/>
      <c r="L6" s="5"/>
      <c r="M6" s="5"/>
      <c r="N6" s="5"/>
      <c r="O6" s="11"/>
    </row>
    <row r="7" spans="1:15" x14ac:dyDescent="0.3">
      <c r="A7" s="5"/>
      <c r="B7" s="5" t="s">
        <v>20</v>
      </c>
      <c r="C7" s="5"/>
      <c r="D7" s="5"/>
      <c r="E7" s="5"/>
      <c r="F7" s="5"/>
      <c r="G7" s="5"/>
      <c r="H7" s="5"/>
      <c r="I7" s="5"/>
      <c r="J7" s="5"/>
      <c r="K7" s="5"/>
      <c r="L7" s="5"/>
      <c r="M7" s="5"/>
      <c r="N7" s="5"/>
      <c r="O7" s="11"/>
    </row>
    <row r="8" spans="1:15" x14ac:dyDescent="0.3">
      <c r="A8" s="5" t="s">
        <v>15</v>
      </c>
      <c r="B8" s="5" t="s">
        <v>16</v>
      </c>
      <c r="C8" s="5"/>
      <c r="D8" s="5"/>
      <c r="E8" s="5"/>
      <c r="F8" s="5"/>
      <c r="G8" s="5"/>
      <c r="H8" s="5"/>
      <c r="I8" s="5"/>
      <c r="J8" s="5"/>
      <c r="K8" s="5"/>
      <c r="L8" s="5"/>
      <c r="M8" s="5"/>
      <c r="N8" s="5"/>
      <c r="O8" s="11"/>
    </row>
    <row r="9" spans="1:15" x14ac:dyDescent="0.3">
      <c r="A9" s="5" t="s">
        <v>17</v>
      </c>
      <c r="B9" s="5" t="s">
        <v>18</v>
      </c>
      <c r="C9" s="5"/>
      <c r="D9" s="5"/>
      <c r="E9" s="5"/>
      <c r="F9" s="5"/>
      <c r="G9" s="5"/>
      <c r="H9" s="5"/>
      <c r="I9" s="5"/>
      <c r="J9" s="5"/>
      <c r="K9" s="5"/>
      <c r="L9" s="5"/>
      <c r="M9" s="5"/>
      <c r="N9" s="5"/>
      <c r="O9" s="11"/>
    </row>
    <row r="10" spans="1:15" x14ac:dyDescent="0.3">
      <c r="A10" s="5"/>
      <c r="B10" s="5"/>
      <c r="C10" s="5"/>
      <c r="D10" s="5"/>
      <c r="E10" s="5"/>
      <c r="F10" s="5"/>
      <c r="G10" s="5"/>
      <c r="H10" s="5"/>
      <c r="I10" s="5"/>
      <c r="J10" s="5"/>
      <c r="K10" s="5"/>
      <c r="L10" s="5"/>
      <c r="M10" s="5"/>
      <c r="N10" s="5"/>
      <c r="O10" s="11"/>
    </row>
  </sheetData>
  <sheetProtection algorithmName="SHA-512" hashValue="iszxxtGyPhMWcfuGY/Qo6aZFJMdFMDi4mwbA+QSWRc48jrLhWsOk9jkk0f1pi31FdDKY6HmjWBUk7MtONNZ6eQ==" saltValue="thDdn+uJIv9lZyxtqk2ClQ==" spinCount="100000" sheet="1" objects="1" scenarios="1"/>
  <pageMargins left="0.7" right="0.7" top="0.78740157499999996" bottom="0.78740157499999996" header="0.3" footer="0.3"/>
  <pageSetup paperSize="9" orientation="portrait" r:id="rId1"/>
  <headerFooter>
    <oddFooter>&amp;L&amp;1#&amp;"Calibri"&amp;10&amp;K000000[internal]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E7D3E-9499-4CA8-B92A-E0A6A98701E6}">
  <dimension ref="B2:R27"/>
  <sheetViews>
    <sheetView zoomScale="90" zoomScaleNormal="90" workbookViewId="0">
      <selection activeCell="B29" sqref="B29"/>
    </sheetView>
  </sheetViews>
  <sheetFormatPr baseColWidth="10" defaultColWidth="11.44140625" defaultRowHeight="14.4" x14ac:dyDescent="0.3"/>
  <cols>
    <col min="1" max="1" width="1.6640625" style="3" customWidth="1"/>
    <col min="2" max="2" width="17.33203125" style="3" customWidth="1"/>
    <col min="3" max="3" width="11.44140625" style="3"/>
    <col min="4" max="4" width="1.6640625" style="3" customWidth="1"/>
    <col min="5" max="5" width="15.5546875" style="3" customWidth="1"/>
    <col min="6" max="6" width="13.109375" style="3" customWidth="1"/>
    <col min="7" max="7" width="1.5546875" style="3" customWidth="1"/>
    <col min="8" max="8" width="23.33203125" style="3" customWidth="1"/>
    <col min="9" max="9" width="12.6640625" style="3" customWidth="1"/>
    <col min="10" max="10" width="11.44140625" style="3"/>
    <col min="11" max="11" width="12" style="3" customWidth="1"/>
    <col min="12" max="12" width="14.109375" style="3" customWidth="1"/>
    <col min="13" max="13" width="1.44140625" style="3" customWidth="1"/>
    <col min="14" max="14" width="16.6640625" style="3" customWidth="1"/>
    <col min="15" max="15" width="11.44140625" style="3"/>
    <col min="16" max="16" width="1.33203125" style="3" customWidth="1"/>
    <col min="17" max="17" width="18.6640625" style="3" customWidth="1"/>
    <col min="18" max="18" width="13.33203125" style="3" customWidth="1"/>
    <col min="19" max="16384" width="11.44140625" style="3"/>
  </cols>
  <sheetData>
    <row r="2" spans="2:18" x14ac:dyDescent="0.3">
      <c r="B2" s="1" t="s">
        <v>78</v>
      </c>
      <c r="C2" s="2" t="s">
        <v>79</v>
      </c>
      <c r="E2" s="1" t="s">
        <v>80</v>
      </c>
      <c r="F2" s="4" t="s">
        <v>81</v>
      </c>
      <c r="H2" s="1" t="s">
        <v>82</v>
      </c>
      <c r="I2" s="2" t="s">
        <v>86</v>
      </c>
      <c r="J2" s="2" t="s">
        <v>87</v>
      </c>
      <c r="K2" s="2" t="s">
        <v>88</v>
      </c>
      <c r="L2" s="2" t="s">
        <v>167</v>
      </c>
      <c r="N2" s="1" t="s">
        <v>85</v>
      </c>
      <c r="O2" s="2" t="s">
        <v>84</v>
      </c>
      <c r="Q2" s="1" t="s">
        <v>43</v>
      </c>
      <c r="R2" s="2" t="s">
        <v>83</v>
      </c>
    </row>
    <row r="3" spans="2:18" x14ac:dyDescent="0.3">
      <c r="B3" s="5" t="s">
        <v>89</v>
      </c>
      <c r="C3" s="6">
        <v>10</v>
      </c>
      <c r="E3" s="5" t="s">
        <v>100</v>
      </c>
      <c r="F3" s="6">
        <v>8</v>
      </c>
      <c r="H3" s="5" t="s">
        <v>104</v>
      </c>
      <c r="I3" s="6">
        <v>0</v>
      </c>
      <c r="J3" s="6">
        <v>100</v>
      </c>
      <c r="K3" s="6">
        <f t="shared" ref="K3" si="0">J3+((1-I3)*(1-J3))</f>
        <v>1</v>
      </c>
      <c r="L3" s="6">
        <f>J3+((1-I3)*(1-J3))</f>
        <v>1</v>
      </c>
      <c r="N3" s="5" t="s">
        <v>104</v>
      </c>
      <c r="O3" s="6">
        <v>0</v>
      </c>
      <c r="Q3" s="5" t="s">
        <v>126</v>
      </c>
      <c r="R3" s="6">
        <v>100</v>
      </c>
    </row>
    <row r="4" spans="2:18" x14ac:dyDescent="0.3">
      <c r="B4" s="5" t="s">
        <v>90</v>
      </c>
      <c r="C4" s="6">
        <v>28</v>
      </c>
      <c r="E4" s="5" t="s">
        <v>101</v>
      </c>
      <c r="F4" s="6">
        <v>20</v>
      </c>
      <c r="H4" s="5" t="s">
        <v>105</v>
      </c>
      <c r="I4" s="6">
        <v>0.8</v>
      </c>
      <c r="J4" s="6">
        <v>0.26400000000000001</v>
      </c>
      <c r="K4" s="6">
        <f>J4+((1-I4)*(1-J4))</f>
        <v>0.41120000000000001</v>
      </c>
      <c r="L4" s="6">
        <f t="shared" ref="L4:L23" si="1">J4+((1-I4)*(1-J4))</f>
        <v>0.41120000000000001</v>
      </c>
      <c r="N4" s="5" t="s">
        <v>129</v>
      </c>
      <c r="O4" s="6">
        <v>1.5</v>
      </c>
      <c r="Q4" s="5" t="s">
        <v>6</v>
      </c>
      <c r="R4" s="6">
        <v>59</v>
      </c>
    </row>
    <row r="5" spans="2:18" x14ac:dyDescent="0.3">
      <c r="B5" s="5" t="s">
        <v>91</v>
      </c>
      <c r="C5" s="6">
        <v>46</v>
      </c>
      <c r="E5" s="5" t="s">
        <v>102</v>
      </c>
      <c r="F5" s="6">
        <v>40</v>
      </c>
      <c r="H5" s="5" t="s">
        <v>106</v>
      </c>
      <c r="I5" s="6">
        <v>0.8</v>
      </c>
      <c r="J5" s="6">
        <v>0.26400000000000001</v>
      </c>
      <c r="K5" s="6">
        <v>1</v>
      </c>
      <c r="L5" s="6">
        <f t="shared" si="1"/>
        <v>0.41120000000000001</v>
      </c>
      <c r="N5" s="5" t="s">
        <v>130</v>
      </c>
      <c r="O5" s="6">
        <v>15</v>
      </c>
      <c r="Q5" s="5" t="s">
        <v>125</v>
      </c>
      <c r="R5" s="6">
        <v>66</v>
      </c>
    </row>
    <row r="6" spans="2:18" x14ac:dyDescent="0.3">
      <c r="B6" s="5" t="s">
        <v>92</v>
      </c>
      <c r="C6" s="6">
        <v>64</v>
      </c>
      <c r="E6" s="5" t="s">
        <v>103</v>
      </c>
      <c r="F6" s="6">
        <v>60</v>
      </c>
      <c r="H6" s="5" t="s">
        <v>107</v>
      </c>
      <c r="I6" s="6">
        <v>0.94</v>
      </c>
      <c r="J6" s="6">
        <v>9.6000000000000002E-2</v>
      </c>
      <c r="K6" s="6">
        <f t="shared" ref="K6:K19" si="2">J6+((1-I6)*(1-J6))</f>
        <v>0.15024000000000004</v>
      </c>
      <c r="L6" s="6">
        <f t="shared" si="1"/>
        <v>0.15024000000000004</v>
      </c>
      <c r="N6" s="5" t="s">
        <v>131</v>
      </c>
      <c r="O6" s="6">
        <v>40</v>
      </c>
      <c r="Q6" s="5" t="s">
        <v>166</v>
      </c>
      <c r="R6" s="7">
        <v>42</v>
      </c>
    </row>
    <row r="7" spans="2:18" x14ac:dyDescent="0.3">
      <c r="B7" s="5" t="s">
        <v>93</v>
      </c>
      <c r="C7" s="6">
        <v>82</v>
      </c>
      <c r="E7" s="5"/>
      <c r="F7" s="5"/>
      <c r="H7" s="5" t="s">
        <v>108</v>
      </c>
      <c r="I7" s="6">
        <v>0.94</v>
      </c>
      <c r="J7" s="6">
        <v>9.6000000000000002E-2</v>
      </c>
      <c r="K7" s="6">
        <v>1</v>
      </c>
      <c r="L7" s="6">
        <f t="shared" si="1"/>
        <v>0.15024000000000004</v>
      </c>
      <c r="N7" s="5"/>
      <c r="O7" s="5"/>
      <c r="Q7" s="5"/>
      <c r="R7" s="5"/>
    </row>
    <row r="8" spans="2:18" x14ac:dyDescent="0.3">
      <c r="B8" s="5" t="s">
        <v>94</v>
      </c>
      <c r="C8" s="6">
        <v>100</v>
      </c>
      <c r="E8" s="5"/>
      <c r="F8" s="5"/>
      <c r="H8" s="5" t="s">
        <v>109</v>
      </c>
      <c r="I8" s="6">
        <v>0.99</v>
      </c>
      <c r="J8" s="6">
        <v>2.4E-2</v>
      </c>
      <c r="K8" s="6">
        <f t="shared" si="2"/>
        <v>3.3760000000000012E-2</v>
      </c>
      <c r="L8" s="6">
        <f t="shared" si="1"/>
        <v>3.3760000000000012E-2</v>
      </c>
      <c r="N8" s="5"/>
      <c r="O8" s="5"/>
      <c r="Q8" s="5" t="s">
        <v>127</v>
      </c>
      <c r="R8" s="6">
        <v>0.62</v>
      </c>
    </row>
    <row r="9" spans="2:18" x14ac:dyDescent="0.3">
      <c r="B9" s="5" t="s">
        <v>95</v>
      </c>
      <c r="C9" s="6">
        <v>112</v>
      </c>
      <c r="E9" s="5"/>
      <c r="F9" s="5"/>
      <c r="H9" s="5" t="s">
        <v>110</v>
      </c>
      <c r="I9" s="6">
        <v>0.99</v>
      </c>
      <c r="J9" s="6">
        <v>2.4E-2</v>
      </c>
      <c r="K9" s="6">
        <v>1</v>
      </c>
      <c r="L9" s="6">
        <f t="shared" si="1"/>
        <v>3.3760000000000012E-2</v>
      </c>
      <c r="N9" s="5"/>
      <c r="O9" s="5"/>
      <c r="Q9" s="5" t="s">
        <v>128</v>
      </c>
      <c r="R9" s="6">
        <v>0.3</v>
      </c>
    </row>
    <row r="10" spans="2:18" x14ac:dyDescent="0.3">
      <c r="B10" s="5" t="s">
        <v>96</v>
      </c>
      <c r="C10" s="6">
        <v>184</v>
      </c>
      <c r="E10" s="5"/>
      <c r="F10" s="5"/>
      <c r="H10" s="5" t="s">
        <v>111</v>
      </c>
      <c r="I10" s="6">
        <v>0.84</v>
      </c>
      <c r="J10" s="6">
        <v>0.52</v>
      </c>
      <c r="K10" s="6">
        <f t="shared" si="2"/>
        <v>0.5968</v>
      </c>
      <c r="L10" s="6">
        <f t="shared" si="1"/>
        <v>0.5968</v>
      </c>
      <c r="N10" s="5"/>
      <c r="O10" s="5"/>
      <c r="Q10" s="5"/>
      <c r="R10" s="5"/>
    </row>
    <row r="11" spans="2:18" x14ac:dyDescent="0.3">
      <c r="B11" s="5" t="s">
        <v>97</v>
      </c>
      <c r="C11" s="6">
        <v>256</v>
      </c>
      <c r="E11" s="5"/>
      <c r="F11" s="5"/>
      <c r="H11" s="5" t="s">
        <v>112</v>
      </c>
      <c r="I11" s="6">
        <v>0.3</v>
      </c>
      <c r="J11" s="6">
        <v>0.65</v>
      </c>
      <c r="K11" s="6">
        <f t="shared" si="2"/>
        <v>0.89500000000000002</v>
      </c>
      <c r="L11" s="6">
        <f t="shared" si="1"/>
        <v>0.89500000000000002</v>
      </c>
      <c r="N11" s="5"/>
      <c r="O11" s="5"/>
      <c r="Q11" s="5"/>
      <c r="R11" s="5"/>
    </row>
    <row r="12" spans="2:18" x14ac:dyDescent="0.3">
      <c r="B12" s="5" t="s">
        <v>98</v>
      </c>
      <c r="C12" s="6">
        <v>328</v>
      </c>
      <c r="E12" s="5"/>
      <c r="F12" s="5"/>
      <c r="H12" s="5" t="s">
        <v>113</v>
      </c>
      <c r="I12" s="6">
        <v>0</v>
      </c>
      <c r="J12" s="6">
        <v>1</v>
      </c>
      <c r="K12" s="6">
        <f t="shared" si="2"/>
        <v>1</v>
      </c>
      <c r="L12" s="6">
        <f t="shared" si="1"/>
        <v>1</v>
      </c>
      <c r="N12" s="5"/>
      <c r="O12" s="5"/>
      <c r="Q12" s="5"/>
      <c r="R12" s="5"/>
    </row>
    <row r="13" spans="2:18" x14ac:dyDescent="0.3">
      <c r="B13" s="5" t="s">
        <v>99</v>
      </c>
      <c r="C13" s="6">
        <v>400</v>
      </c>
      <c r="E13" s="5"/>
      <c r="F13" s="5"/>
      <c r="H13" s="5" t="s">
        <v>114</v>
      </c>
      <c r="I13" s="6">
        <v>0</v>
      </c>
      <c r="J13" s="6">
        <v>1</v>
      </c>
      <c r="K13" s="6">
        <f t="shared" si="2"/>
        <v>1</v>
      </c>
      <c r="L13" s="6">
        <f t="shared" si="1"/>
        <v>1</v>
      </c>
      <c r="N13" s="5"/>
      <c r="O13" s="5"/>
      <c r="Q13" s="5"/>
      <c r="R13" s="5"/>
    </row>
    <row r="14" spans="2:18" x14ac:dyDescent="0.3">
      <c r="B14" s="5"/>
      <c r="C14" s="5"/>
      <c r="E14" s="5"/>
      <c r="F14" s="5"/>
      <c r="H14" s="5" t="s">
        <v>115</v>
      </c>
      <c r="I14" s="6">
        <v>0.8</v>
      </c>
      <c r="J14" s="6">
        <v>0.02</v>
      </c>
      <c r="K14" s="6">
        <f t="shared" si="2"/>
        <v>0.21599999999999994</v>
      </c>
      <c r="L14" s="6">
        <f t="shared" si="1"/>
        <v>0.21599999999999994</v>
      </c>
      <c r="N14" s="5"/>
      <c r="O14" s="5"/>
      <c r="Q14" s="5"/>
      <c r="R14" s="5"/>
    </row>
    <row r="15" spans="2:18" x14ac:dyDescent="0.3">
      <c r="B15" s="5"/>
      <c r="C15" s="5"/>
      <c r="E15" s="5"/>
      <c r="F15" s="5"/>
      <c r="H15" s="5" t="s">
        <v>116</v>
      </c>
      <c r="I15" s="6">
        <v>0.94</v>
      </c>
      <c r="J15" s="6">
        <v>0.02</v>
      </c>
      <c r="K15" s="6">
        <f t="shared" si="2"/>
        <v>7.8800000000000051E-2</v>
      </c>
      <c r="L15" s="6">
        <f t="shared" si="1"/>
        <v>7.8800000000000051E-2</v>
      </c>
      <c r="N15" s="5"/>
      <c r="O15" s="5"/>
      <c r="Q15" s="5"/>
      <c r="R15" s="5"/>
    </row>
    <row r="16" spans="2:18" x14ac:dyDescent="0.3">
      <c r="B16" s="5"/>
      <c r="C16" s="5"/>
      <c r="E16" s="5"/>
      <c r="F16" s="5"/>
      <c r="H16" s="5" t="s">
        <v>117</v>
      </c>
      <c r="I16" s="6">
        <v>0.99950000000000006</v>
      </c>
      <c r="J16" s="6">
        <v>0.02</v>
      </c>
      <c r="K16" s="6">
        <f t="shared" si="2"/>
        <v>2.0489999999999946E-2</v>
      </c>
      <c r="L16" s="6">
        <f t="shared" si="1"/>
        <v>2.0489999999999946E-2</v>
      </c>
      <c r="N16" s="5"/>
      <c r="O16" s="5"/>
      <c r="Q16" s="5"/>
      <c r="R16" s="5"/>
    </row>
    <row r="17" spans="2:18" x14ac:dyDescent="0.3">
      <c r="B17" s="5"/>
      <c r="C17" s="5"/>
      <c r="E17" s="5"/>
      <c r="F17" s="5"/>
      <c r="H17" s="5" t="s">
        <v>118</v>
      </c>
      <c r="I17" s="6">
        <v>0.8</v>
      </c>
      <c r="J17" s="6">
        <v>5.0000000000000001E-4</v>
      </c>
      <c r="K17" s="6">
        <f t="shared" si="2"/>
        <v>0.20039999999999997</v>
      </c>
      <c r="L17" s="6">
        <f t="shared" si="1"/>
        <v>0.20039999999999997</v>
      </c>
      <c r="N17" s="5"/>
      <c r="O17" s="5"/>
      <c r="Q17" s="5"/>
      <c r="R17" s="5"/>
    </row>
    <row r="18" spans="2:18" x14ac:dyDescent="0.3">
      <c r="B18" s="5"/>
      <c r="C18" s="5"/>
      <c r="E18" s="5"/>
      <c r="F18" s="5"/>
      <c r="H18" s="5" t="s">
        <v>119</v>
      </c>
      <c r="I18" s="6">
        <v>0.94</v>
      </c>
      <c r="J18" s="6">
        <v>5.0000000000000001E-4</v>
      </c>
      <c r="K18" s="6">
        <f t="shared" si="2"/>
        <v>6.0470000000000058E-2</v>
      </c>
      <c r="L18" s="6">
        <f t="shared" si="1"/>
        <v>6.0470000000000058E-2</v>
      </c>
      <c r="N18" s="5"/>
      <c r="O18" s="5"/>
      <c r="Q18" s="5"/>
      <c r="R18" s="5"/>
    </row>
    <row r="19" spans="2:18" x14ac:dyDescent="0.3">
      <c r="B19" s="5"/>
      <c r="C19" s="5"/>
      <c r="E19" s="5"/>
      <c r="F19" s="5"/>
      <c r="H19" s="5" t="s">
        <v>120</v>
      </c>
      <c r="I19" s="6">
        <v>0.99950000000000006</v>
      </c>
      <c r="J19" s="6">
        <v>5.0000000000000001E-4</v>
      </c>
      <c r="K19" s="6">
        <f t="shared" si="2"/>
        <v>9.9974999999994513E-4</v>
      </c>
      <c r="L19" s="6">
        <f t="shared" si="1"/>
        <v>9.9974999999994513E-4</v>
      </c>
      <c r="N19" s="5"/>
      <c r="O19" s="5"/>
      <c r="Q19" s="5"/>
      <c r="R19" s="5"/>
    </row>
    <row r="20" spans="2:18" x14ac:dyDescent="0.3">
      <c r="B20" s="5"/>
      <c r="C20" s="5"/>
      <c r="E20" s="5"/>
      <c r="F20" s="5"/>
      <c r="H20" s="5" t="s">
        <v>121</v>
      </c>
      <c r="I20" s="6">
        <v>0.99950000000000006</v>
      </c>
      <c r="J20" s="6">
        <v>0.1</v>
      </c>
      <c r="K20" s="6">
        <v>1</v>
      </c>
      <c r="L20" s="6">
        <f t="shared" si="1"/>
        <v>0.10044999999999996</v>
      </c>
      <c r="N20" s="5"/>
      <c r="O20" s="5"/>
      <c r="Q20" s="5"/>
      <c r="R20" s="5"/>
    </row>
    <row r="21" spans="2:18" x14ac:dyDescent="0.3">
      <c r="B21" s="5"/>
      <c r="C21" s="5"/>
      <c r="E21" s="5"/>
      <c r="F21" s="5"/>
      <c r="H21" s="5" t="s">
        <v>122</v>
      </c>
      <c r="I21" s="6">
        <v>0.99950000000000006</v>
      </c>
      <c r="J21" s="6">
        <v>0.02</v>
      </c>
      <c r="K21" s="6">
        <v>1</v>
      </c>
      <c r="L21" s="6">
        <f t="shared" si="1"/>
        <v>2.0489999999999946E-2</v>
      </c>
      <c r="N21" s="5"/>
      <c r="O21" s="5"/>
      <c r="Q21" s="5"/>
      <c r="R21" s="5"/>
    </row>
    <row r="22" spans="2:18" x14ac:dyDescent="0.3">
      <c r="B22" s="5"/>
      <c r="C22" s="5"/>
      <c r="E22" s="5"/>
      <c r="F22" s="5"/>
      <c r="H22" s="5" t="s">
        <v>123</v>
      </c>
      <c r="I22" s="6">
        <v>0.99950000000000006</v>
      </c>
      <c r="J22" s="6">
        <v>2E-3</v>
      </c>
      <c r="K22" s="6">
        <v>1</v>
      </c>
      <c r="L22" s="6">
        <f t="shared" si="1"/>
        <v>2.4989999999999448E-3</v>
      </c>
      <c r="N22" s="5"/>
      <c r="O22" s="5"/>
      <c r="Q22" s="5"/>
      <c r="R22" s="5"/>
    </row>
    <row r="23" spans="2:18" x14ac:dyDescent="0.3">
      <c r="B23" s="5"/>
      <c r="C23" s="5"/>
      <c r="E23" s="5"/>
      <c r="F23" s="5"/>
      <c r="H23" s="5" t="s">
        <v>124</v>
      </c>
      <c r="I23" s="6">
        <v>1</v>
      </c>
      <c r="J23" s="6">
        <v>5.0000000000000001E-4</v>
      </c>
      <c r="K23" s="6">
        <f>J23+((1-I23)*(1-J23))</f>
        <v>5.0000000000000001E-4</v>
      </c>
      <c r="L23" s="6">
        <f t="shared" si="1"/>
        <v>5.0000000000000001E-4</v>
      </c>
      <c r="N23" s="5"/>
      <c r="O23" s="5"/>
      <c r="Q23" s="5"/>
      <c r="R23" s="5"/>
    </row>
    <row r="24" spans="2:18" x14ac:dyDescent="0.3">
      <c r="B24" s="5"/>
      <c r="C24" s="5"/>
      <c r="E24" s="5"/>
      <c r="F24" s="5"/>
      <c r="H24" s="5"/>
      <c r="I24" s="5"/>
      <c r="J24" s="5"/>
      <c r="K24" s="5"/>
      <c r="L24" s="5"/>
      <c r="N24" s="5"/>
      <c r="O24" s="5"/>
      <c r="Q24" s="5"/>
      <c r="R24" s="5"/>
    </row>
    <row r="25" spans="2:18" x14ac:dyDescent="0.3">
      <c r="B25" s="5"/>
      <c r="C25" s="5"/>
      <c r="E25" s="5"/>
      <c r="F25" s="5"/>
      <c r="H25" s="5"/>
      <c r="I25" s="5"/>
      <c r="J25" s="5"/>
      <c r="K25" s="5"/>
      <c r="L25" s="5"/>
      <c r="N25" s="5"/>
      <c r="O25" s="5"/>
      <c r="Q25" s="5"/>
      <c r="R25" s="5"/>
    </row>
    <row r="26" spans="2:18" x14ac:dyDescent="0.3">
      <c r="B26" s="5"/>
      <c r="C26" s="5"/>
      <c r="E26" s="5"/>
      <c r="F26" s="5"/>
      <c r="H26" s="5"/>
      <c r="I26" s="5"/>
      <c r="J26" s="5"/>
      <c r="K26" s="5"/>
      <c r="L26" s="5"/>
      <c r="N26" s="5"/>
      <c r="O26" s="5"/>
      <c r="Q26" s="5"/>
      <c r="R26" s="5"/>
    </row>
    <row r="27" spans="2:18" x14ac:dyDescent="0.3">
      <c r="B27" s="5"/>
      <c r="C27" s="5"/>
      <c r="E27" s="5"/>
      <c r="F27" s="5"/>
      <c r="H27" s="5"/>
      <c r="I27" s="5"/>
      <c r="J27" s="5"/>
      <c r="K27" s="5"/>
      <c r="L27" s="5"/>
      <c r="N27" s="5"/>
      <c r="O27" s="5"/>
      <c r="Q27" s="5"/>
      <c r="R27" s="5"/>
    </row>
  </sheetData>
  <sheetProtection algorithmName="SHA-512" hashValue="Boj/ZSBVVx7PUbKl4yRgrbcS3Emv1qpzsJX8OHXwdApTMlt7Fzt8Xw1NJDncy5RGSCl/U+12+NKEYRqu1wz2dg==" saltValue="TuEkJiel6PCzCzh+DowGVA==" spinCount="100000" sheet="1" objects="1" scenarios="1"/>
  <sortState xmlns:xlrd2="http://schemas.microsoft.com/office/spreadsheetml/2017/richdata2" ref="N4:O14">
    <sortCondition ref="N4"/>
  </sortState>
  <pageMargins left="0.7" right="0.7" top="0.78740157499999996" bottom="0.78740157499999996" header="0.3" footer="0.3"/>
  <pageSetup paperSize="9" orientation="portrait" r:id="rId1"/>
  <headerFooter>
    <oddFooter>&amp;L&amp;1#&amp;"Calibri"&amp;10&amp;K000000[internal]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D12B182A652B41A10261ECA2535B78" ma:contentTypeVersion="20" ma:contentTypeDescription="Create a new document." ma:contentTypeScope="" ma:versionID="07b9ae586895bd4d9d729cabd72eaa6c">
  <xsd:schema xmlns:xsd="http://www.w3.org/2001/XMLSchema" xmlns:xs="http://www.w3.org/2001/XMLSchema" xmlns:p="http://schemas.microsoft.com/office/2006/metadata/properties" xmlns:ns1="3900a7cd-735b-4f56-a6f4-08d139dd6cc3" xmlns:ns3="8baa5676-2a8e-4c8c-a22b-d4cea8589c6a" targetNamespace="http://schemas.microsoft.com/office/2006/metadata/properties" ma:root="true" ma:fieldsID="5ff5edbed0393f71b18eeaed0d693c40" ns1:_="" ns3:_="">
    <xsd:import namespace="3900a7cd-735b-4f56-a6f4-08d139dd6cc3"/>
    <xsd:import namespace="8baa5676-2a8e-4c8c-a22b-d4cea8589c6a"/>
    <xsd:element name="properties">
      <xsd:complexType>
        <xsd:sequence>
          <xsd:element name="documentManagement">
            <xsd:complexType>
              <xsd:all>
                <xsd:element ref="ns1:Still_x0020_in_x0020_use" minOccurs="0"/>
                <xsd:element ref="ns1:DocumentTitle"/>
                <xsd:element ref="ns1:Description0" minOccurs="0"/>
                <xsd:element ref="ns1:DocumentLanguage"/>
                <xsd:element ref="ns1:LanguageTree" minOccurs="0"/>
                <xsd:element ref="ns1:FirstCategoryGroup"/>
                <xsd:element ref="ns1:SecondCategoryGroup" minOccurs="0"/>
                <xsd:element ref="ns1:ThirdCategoryGroup" minOccurs="0"/>
                <xsd:element ref="ns1:Date" minOccurs="0"/>
                <xsd:element ref="ns1:Website" minOccurs="0"/>
                <xsd:element ref="ns1:SourceID" minOccurs="0"/>
                <xsd:element ref="ns1:DynamicGrouping" minOccurs="0"/>
                <xsd:element ref="ns1:Materials_x0020__x002f__x0020_product_x0020_group"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00a7cd-735b-4f56-a6f4-08d139dd6cc3" elementFormDefault="qualified">
    <xsd:import namespace="http://schemas.microsoft.com/office/2006/documentManagement/types"/>
    <xsd:import namespace="http://schemas.microsoft.com/office/infopath/2007/PartnerControls"/>
    <xsd:element name="Still_x0020_in_x0020_use" ma:index="0" nillable="true" ma:displayName="Still in use" ma:default="1" ma:internalName="Still_x0020_in_x0020_use">
      <xsd:simpleType>
        <xsd:restriction base="dms:Boolean"/>
      </xsd:simpleType>
    </xsd:element>
    <xsd:element name="DocumentTitle" ma:index="2" ma:displayName="Title" ma:default="" ma:internalName="DocumentTitle">
      <xsd:simpleType>
        <xsd:restriction base="dms:Text">
          <xsd:maxLength value="255"/>
        </xsd:restriction>
      </xsd:simpleType>
    </xsd:element>
    <xsd:element name="Description0" ma:index="3" nillable="true" ma:displayName="Description" ma:default="" ma:internalName="Description0">
      <xsd:simpleType>
        <xsd:restriction base="dms:Note">
          <xsd:maxLength value="255"/>
        </xsd:restriction>
      </xsd:simpleType>
    </xsd:element>
    <xsd:element name="DocumentLanguage" ma:index="4" ma:displayName="Document language" ma:default="EN" ma:format="Dropdown" ma:internalName="DocumentLanguage">
      <xsd:simpleType>
        <xsd:restriction base="dms:Choice">
          <xsd:enumeration value="DE"/>
          <xsd:enumeration value="EN"/>
          <xsd:enumeration value="ES"/>
          <xsd:enumeration value="PT"/>
          <xsd:enumeration value="RU"/>
          <xsd:enumeration value="ZH"/>
        </xsd:restriction>
      </xsd:simpleType>
    </xsd:element>
    <xsd:element name="LanguageTree" ma:index="5" nillable="true" ma:displayName="Language tree" ma:internalName="LanguageTree">
      <xsd:complexType>
        <xsd:complexContent>
          <xsd:extension base="dms:MultiChoice">
            <xsd:sequence>
              <xsd:element name="Value" maxOccurs="unbounded" minOccurs="0" nillable="true">
                <xsd:simpleType>
                  <xsd:restriction base="dms:Choice">
                    <xsd:enumeration value="DE"/>
                    <xsd:enumeration value="EN"/>
                  </xsd:restriction>
                </xsd:simpleType>
              </xsd:element>
            </xsd:sequence>
          </xsd:extension>
        </xsd:complexContent>
      </xsd:complexType>
    </xsd:element>
    <xsd:element name="FirstCategoryGroup" ma:index="6" ma:displayName="Document type" ma:default="Documents" ma:format="Dropdown" ma:indexed="true" ma:internalName="FirstCategoryGroup">
      <xsd:simpleType>
        <xsd:restriction base="dms:Choice">
          <xsd:enumeration value="Documents"/>
          <xsd:enumeration value="Images"/>
          <xsd:enumeration value="Product Stories"/>
          <xsd:enumeration value="GPS Summary"/>
          <xsd:enumeration value="IR - Quarterly Reports"/>
          <xsd:enumeration value="IR - Annual Reports"/>
          <xsd:enumeration value="Media - Speeches &amp; Statements"/>
          <xsd:enumeration value="Publications - Evonik Magazine"/>
          <xsd:enumeration value="Publications - elements"/>
          <xsd:enumeration value="Company - CVs"/>
          <xsd:enumeration value="Sponsoring - BVB"/>
          <xsd:enumeration value="Articles"/>
          <xsd:enumeration value="Brochures"/>
          <xsd:enumeration value="Certificates"/>
          <xsd:enumeration value="Press releases"/>
          <xsd:enumeration value="Product flyer"/>
          <xsd:enumeration value="Product information"/>
          <xsd:enumeration value="Publications"/>
          <xsd:enumeration value="Questionaires"/>
          <xsd:enumeration value="References"/>
          <xsd:enumeration value="Services"/>
          <xsd:enumeration value="Technical literature"/>
          <xsd:enumeration value="other documents"/>
        </xsd:restriction>
      </xsd:simpleType>
    </xsd:element>
    <xsd:element name="SecondCategoryGroup" ma:index="7" nillable="true" ma:displayName="Area" ma:internalName="SecondCategoryGroup" ma:requiredMultiChoice="true">
      <xsd:complexType>
        <xsd:complexContent>
          <xsd:extension base="dms:MultiChoice">
            <xsd:sequence>
              <xsd:element name="Value" maxOccurs="unbounded" minOccurs="0" nillable="true">
                <xsd:simpleType>
                  <xsd:restriction base="dms:Choice">
                    <xsd:enumeration value="Company"/>
                    <xsd:enumeration value="Products"/>
                    <xsd:enumeration value="Sponsoring"/>
                    <xsd:enumeration value="Locations"/>
                    <xsd:enumeration value="Investor Relations"/>
                    <xsd:enumeration value="Media &amp; Publications"/>
                    <xsd:enumeration value="Research &amp; Development"/>
                    <xsd:enumeration value="Career"/>
                    <xsd:enumeration value="Responsibility"/>
                  </xsd:restriction>
                </xsd:simpleType>
              </xsd:element>
            </xsd:sequence>
          </xsd:extension>
        </xsd:complexContent>
      </xsd:complexType>
    </xsd:element>
    <xsd:element name="ThirdCategoryGroup" ma:index="8" nillable="true" ma:displayName="Location" ma:format="Dropdown" ma:internalName="ThirdCategoryGroup">
      <xsd:simpleType>
        <xsd:restriction base="dms:Choice">
          <xsd:enumeration value="Darmstadt"/>
          <xsd:enumeration value="Essen Campus"/>
          <xsd:enumeration value="Essen Goldschmidtstraße"/>
          <xsd:enumeration value="Gramatneusiedl"/>
          <xsd:enumeration value="Halle / Westfalen"/>
          <xsd:enumeration value="Hanau"/>
          <xsd:enumeration value="Herne"/>
          <xsd:enumeration value="Krefeld"/>
          <xsd:enumeration value="Lülsdorf"/>
          <xsd:enumeration value="Marl"/>
          <xsd:enumeration value="Rheinfelden"/>
          <xsd:enumeration value="Rheinmünster"/>
          <xsd:enumeration value="Steinau"/>
          <xsd:enumeration value="Weiterstadt"/>
          <xsd:enumeration value="Wesseling"/>
          <xsd:enumeration value="Witten"/>
          <xsd:enumeration value="Worms"/>
        </xsd:restriction>
      </xsd:simpleType>
    </xsd:element>
    <xsd:element name="Date" ma:index="9" nillable="true" ma:displayName="Date" ma:format="DateOnly" ma:indexed="true" ma:internalName="Date">
      <xsd:simpleType>
        <xsd:restriction base="dms:DateTime"/>
      </xsd:simpleType>
    </xsd:element>
    <xsd:element name="Website" ma:index="10" nillable="true" ma:displayName="Website" ma:default="Current" ma:internalName="Website" ma:requiredMultiChoice="true">
      <xsd:complexType>
        <xsd:complexContent>
          <xsd:extension base="dms:MultiChoice">
            <xsd:sequence>
              <xsd:element name="Value" maxOccurs="unbounded" minOccurs="0" nillable="true">
                <xsd:simpleType>
                  <xsd:restriction base="dms:Choice">
                    <xsd:enumeration value="Current"/>
                    <xsd:enumeration value="C8 Monomers"/>
                    <xsd:enumeration value="DuraMem &amp; PuraMem"/>
                    <xsd:enumeration value="P84"/>
                    <xsd:enumeration value="ROHACELL"/>
                    <xsd:enumeration value="Sports"/>
                    <xsd:enumeration value="TROGAMID"/>
                    <xsd:enumeration value="VESTAKEEP for Implants"/>
                    <xsd:enumeration value="VESTAKEEP Industrial"/>
                    <xsd:enumeration value="VESTAMID"/>
                    <xsd:enumeration value="VESTENAMER"/>
                    <xsd:enumeration value="VESTODUR"/>
                    <xsd:enumeration value="VESTOSINT"/>
                  </xsd:restriction>
                </xsd:simpleType>
              </xsd:element>
            </xsd:sequence>
          </xsd:extension>
        </xsd:complexContent>
      </xsd:complexType>
    </xsd:element>
    <xsd:element name="SourceID" ma:index="11" nillable="true" ma:displayName="SourceID" ma:internalName="SourceID">
      <xsd:simpleType>
        <xsd:restriction base="dms:Text">
          <xsd:maxLength value="255"/>
        </xsd:restriction>
      </xsd:simpleType>
    </xsd:element>
    <xsd:element name="DynamicGrouping" ma:index="13" nillable="true" ma:displayName="DynamicGrouping" ma:internalName="DynamicGrouping">
      <xsd:complexType>
        <xsd:complexContent>
          <xsd:extension base="dms:MultiChoice">
            <xsd:sequence>
              <xsd:element name="Value" maxOccurs="unbounded" minOccurs="0" nillable="true">
                <xsd:simpleType>
                  <xsd:restriction base="dms:Choice">
                    <xsd:enumeration value="IR-Presentations-2019"/>
                    <xsd:enumeration value="IR-Presentations-2018"/>
                    <xsd:enumeration value="IR-Presentations-2017"/>
                    <xsd:enumeration value="IR-Presentations-2016"/>
                    <xsd:enumeration value="IR-Presentations-2015"/>
                    <xsd:enumeration value="IR-Presentations-2014"/>
                    <xsd:enumeration value="IR-Presentations-2013"/>
                    <xsd:enumeration value="IR-Presentations-2012"/>
                    <xsd:enumeration value="IR-Presentations-2011"/>
                  </xsd:restriction>
                </xsd:simpleType>
              </xsd:element>
            </xsd:sequence>
          </xsd:extension>
        </xsd:complexContent>
      </xsd:complexType>
    </xsd:element>
    <xsd:element name="Materials_x0020__x002f__x0020_product_x0020_group" ma:index="14" nillable="true" ma:displayName="Materials / product group" ma:internalName="Materials_x0020__x002f__x0020_product_x0020_group">
      <xsd:complexType>
        <xsd:complexContent>
          <xsd:extension base="dms:MultiChoice">
            <xsd:sequence>
              <xsd:element name="Value" maxOccurs="unbounded" minOccurs="0" nillable="true">
                <xsd:simpleType>
                  <xsd:restriction base="dms:Choice">
                    <xsd:enumeration value="Biobased polymers"/>
                    <xsd:enumeration value="Coating powder"/>
                    <xsd:enumeration value="Composites"/>
                    <xsd:enumeration value="Elastic polyamides"/>
                    <xsd:enumeration value="Filaments and tissues"/>
                    <xsd:enumeration value="High-impact polyamides"/>
                    <xsd:enumeration value="High-temperature polymers"/>
                    <xsd:enumeration value="Hot-melt adhesives"/>
                    <xsd:enumeration value="Laser sintering powder"/>
                    <xsd:enumeration value="Membranes"/>
                    <xsd:enumeration value="Plastic-rubber composites"/>
                    <xsd:enumeration value="Sealing compounds"/>
                    <xsd:enumeration value="Sheets and films"/>
                    <xsd:enumeration value="Structural foams"/>
                    <xsd:enumeration value="Transparent polyamides"/>
                    <xsd:enumeration value="VESTAKEEP base grades"/>
                    <xsd:enumeration value="VESTAKEEP standard compounds"/>
                    <xsd:enumeration value="VESTAKEEP specialty compounds"/>
                    <xsd:enumeration value="VESTAKEEP powders"/>
                    <xsd:enumeration value="VESTAKEEP films"/>
                    <xsd:enumeration value="VESTAMID HTplus"/>
                    <xsd:enumeration value="VESTAMID NRG"/>
                    <xsd:enumeration value="VESTAMID Terra"/>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baa5676-2a8e-4c8c-a22b-d4cea8589c6a" elementFormDefault="qualified">
    <xsd:import namespace="http://schemas.microsoft.com/office/2006/documentManagement/types"/>
    <xsd:import namespace="http://schemas.microsoft.com/office/infopath/2007/PartnerControls"/>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Tree xmlns="3900a7cd-735b-4f56-a6f4-08d139dd6cc3">
      <Value>EN</Value>
    </LanguageTree>
    <Date xmlns="3900a7cd-735b-4f56-a6f4-08d139dd6cc3" xsi:nil="true"/>
    <Description0 xmlns="3900a7cd-735b-4f56-a6f4-08d139dd6cc3" xsi:nil="true"/>
    <DocumentTitle xmlns="3900a7cd-735b-4f56-a6f4-08d139dd6cc3">Aerosol-Indoor-Simulator_Vers. 1.2</DocumentTitle>
    <ThirdCategoryGroup xmlns="3900a7cd-735b-4f56-a6f4-08d139dd6cc3" xsi:nil="true"/>
    <FirstCategoryGroup xmlns="3900a7cd-735b-4f56-a6f4-08d139dd6cc3">Documents</FirstCategoryGroup>
    <Materials_x0020__x002f__x0020_product_x0020_group xmlns="3900a7cd-735b-4f56-a6f4-08d139dd6cc3"/>
    <DocumentLanguage xmlns="3900a7cd-735b-4f56-a6f4-08d139dd6cc3">EN</DocumentLanguage>
    <SecondCategoryGroup xmlns="3900a7cd-735b-4f56-a6f4-08d139dd6cc3">
      <Value>Company</Value>
    </SecondCategoryGroup>
    <SourceID xmlns="3900a7cd-735b-4f56-a6f4-08d139dd6cc3" xsi:nil="true"/>
    <Website xmlns="3900a7cd-735b-4f56-a6f4-08d139dd6cc3">
      <Value>Current</Value>
    </Website>
    <DynamicGrouping xmlns="3900a7cd-735b-4f56-a6f4-08d139dd6cc3"/>
    <Still_x0020_in_x0020_use xmlns="3900a7cd-735b-4f56-a6f4-08d139dd6cc3">true</Still_x0020_in_x0020_use>
  </documentManagement>
</p:properties>
</file>

<file path=customXml/itemProps1.xml><?xml version="1.0" encoding="utf-8"?>
<ds:datastoreItem xmlns:ds="http://schemas.openxmlformats.org/officeDocument/2006/customXml" ds:itemID="{EDDAB456-EDDD-43FE-8FE8-E5F372C3900F}"/>
</file>

<file path=customXml/itemProps2.xml><?xml version="1.0" encoding="utf-8"?>
<ds:datastoreItem xmlns:ds="http://schemas.openxmlformats.org/officeDocument/2006/customXml" ds:itemID="{2889FEA3-E713-4728-A8B3-4441D4648552}"/>
</file>

<file path=customXml/itemProps3.xml><?xml version="1.0" encoding="utf-8"?>
<ds:datastoreItem xmlns:ds="http://schemas.openxmlformats.org/officeDocument/2006/customXml" ds:itemID="{EFCCD33C-DC1F-4AA4-B0D2-F17150193D2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Intro</vt:lpstr>
      <vt:lpstr>Simulation</vt:lpstr>
      <vt:lpstr>Mobile device</vt:lpstr>
      <vt:lpstr>FAQ</vt:lpstr>
      <vt:lpstr>Literature</vt:lpstr>
      <vt:lpstr>Settings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Paassen, Andreas</dc:creator>
  <cp:lastModifiedBy>Paassen, Andreas</cp:lastModifiedBy>
  <dcterms:created xsi:type="dcterms:W3CDTF">2021-02-05T13:17:54Z</dcterms:created>
  <dcterms:modified xsi:type="dcterms:W3CDTF">2021-07-16T07:01:28Z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bda4ade-b73a-4575-9edb-0cfe0c309fd1_Enabled">
    <vt:lpwstr>true</vt:lpwstr>
  </property>
  <property fmtid="{D5CDD505-2E9C-101B-9397-08002B2CF9AE}" pid="3" name="MSIP_Label_abda4ade-b73a-4575-9edb-0cfe0c309fd1_SetDate">
    <vt:lpwstr>2021-07-16T07:01:26Z</vt:lpwstr>
  </property>
  <property fmtid="{D5CDD505-2E9C-101B-9397-08002B2CF9AE}" pid="4" name="MSIP_Label_abda4ade-b73a-4575-9edb-0cfe0c309fd1_Method">
    <vt:lpwstr>Privileged</vt:lpwstr>
  </property>
  <property fmtid="{D5CDD505-2E9C-101B-9397-08002B2CF9AE}" pid="5" name="MSIP_Label_abda4ade-b73a-4575-9edb-0cfe0c309fd1_Name">
    <vt:lpwstr>abda4ade-b73a-4575-9edb-0cfe0c309fd1</vt:lpwstr>
  </property>
  <property fmtid="{D5CDD505-2E9C-101B-9397-08002B2CF9AE}" pid="6" name="MSIP_Label_abda4ade-b73a-4575-9edb-0cfe0c309fd1_SiteId">
    <vt:lpwstr>acf01cd9-ddd4-4522-a2c3-ebcadef31fbb</vt:lpwstr>
  </property>
  <property fmtid="{D5CDD505-2E9C-101B-9397-08002B2CF9AE}" pid="7" name="MSIP_Label_abda4ade-b73a-4575-9edb-0cfe0c309fd1_ActionId">
    <vt:lpwstr>0a7e89ea-0ca1-4c33-8899-c5712fc671d8</vt:lpwstr>
  </property>
  <property fmtid="{D5CDD505-2E9C-101B-9397-08002B2CF9AE}" pid="8" name="MSIP_Label_abda4ade-b73a-4575-9edb-0cfe0c309fd1_ContentBits">
    <vt:lpwstr>2</vt:lpwstr>
  </property>
  <property fmtid="{D5CDD505-2E9C-101B-9397-08002B2CF9AE}" pid="9" name="ContentTypeId">
    <vt:lpwstr>0x01010002D12B182A652B41A10261ECA2535B78</vt:lpwstr>
  </property>
</Properties>
</file>